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VALENCIA\"/>
    </mc:Choice>
  </mc:AlternateContent>
  <workbookProtection workbookAlgorithmName="SHA-512" workbookHashValue="4axggo17PviFz029SmJARlwaVQ4uWL65mcc6zS6iI+uNvhu0Kx3p6BfaPI5BQBls8gYPuv81QpWjs9wYsNGGbA==" workbookSaltValue="7AlJy8LnLWXR8GWeq52ujg=="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F16" i="16" s="1"/>
  <c r="AC16" i="16"/>
  <c r="AB16" i="16"/>
  <c r="Z16" i="16"/>
  <c r="W16" i="16"/>
  <c r="U16" i="16"/>
  <c r="R16" i="16"/>
  <c r="BM16" i="16" s="1"/>
  <c r="Q16" i="16"/>
  <c r="P16" i="16"/>
  <c r="O16" i="16"/>
  <c r="M16" i="16"/>
  <c r="L16" i="16"/>
  <c r="J16" i="16"/>
  <c r="I16" i="16"/>
  <c r="G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8" l="1"/>
  <c r="BG16" i="13"/>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BL9" i="26" s="1"/>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A15" i="13"/>
  <c r="AZ17" i="13"/>
  <c r="AZ15" i="13"/>
  <c r="AY17" i="13"/>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AY11" i="13"/>
  <c r="BB9" i="13"/>
  <c r="BA9" i="13"/>
  <c r="BD9" i="13" s="1"/>
  <c r="AY9" i="13"/>
  <c r="BC12" i="13"/>
  <c r="BC11" i="13"/>
  <c r="BC10" i="13"/>
  <c r="BB10" i="13"/>
  <c r="BA10" i="13"/>
  <c r="AZ10" i="13"/>
  <c r="AY10" i="13"/>
  <c r="BC9" i="13"/>
  <c r="BC18" i="13"/>
  <c r="BB18" i="13"/>
  <c r="BA18" i="13"/>
  <c r="AZ18" i="13"/>
  <c r="AY18" i="13"/>
  <c r="BC17" i="13"/>
  <c r="BF17" i="13" s="1"/>
  <c r="BC15" i="13"/>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S19" i="8"/>
  <c r="R19" i="8"/>
  <c r="R20" i="8" s="1"/>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AI13" i="8"/>
  <c r="AH13" i="8"/>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A14" i="2"/>
  <c r="A15" i="2"/>
  <c r="B15" i="2"/>
  <c r="A17" i="2"/>
  <c r="B17" i="2"/>
  <c r="A18" i="2"/>
  <c r="B18" i="2"/>
  <c r="A19" i="2"/>
  <c r="A20" i="2"/>
  <c r="A21" i="2"/>
  <c r="A22" i="2"/>
  <c r="A24" i="2"/>
  <c r="O26" i="11"/>
  <c r="O27" i="11"/>
  <c r="B19" i="7"/>
  <c r="AN19" i="17"/>
  <c r="B19" i="2"/>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BG12" i="13"/>
  <c r="AP13" i="17"/>
  <c r="R13" i="12"/>
  <c r="BF18" i="8"/>
  <c r="AT19" i="20"/>
  <c r="D19" i="12"/>
  <c r="N10" i="11"/>
  <c r="ES20" i="8"/>
  <c r="D18" i="2"/>
  <c r="T20" i="8"/>
  <c r="T13" i="12"/>
  <c r="BD18" i="13"/>
  <c r="B13" i="2" l="1"/>
  <c r="BF15" i="13"/>
  <c r="BG17" i="13"/>
  <c r="BE15" i="13"/>
  <c r="BE17" i="13"/>
  <c r="AY13" i="13"/>
  <c r="AU19" i="21"/>
  <c r="AO13" i="20"/>
  <c r="AS13" i="21"/>
  <c r="AO19" i="20"/>
  <c r="BG9" i="13"/>
  <c r="BD18" i="8"/>
  <c r="H18" i="7" s="1"/>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L9" i="16" s="1"/>
  <c r="BE9" i="13"/>
  <c r="ER20" i="13"/>
  <c r="BD11" i="13"/>
  <c r="BE18" i="8"/>
  <c r="I18" i="7" s="1"/>
  <c r="BE11" i="8"/>
  <c r="BE15" i="8"/>
  <c r="I15" i="7" s="1"/>
  <c r="AP12" i="11"/>
  <c r="S10" i="21"/>
  <c r="S13" i="21" s="1"/>
  <c r="S20" i="21" s="1"/>
  <c r="AP10" i="11"/>
  <c r="N20" i="19"/>
  <c r="Z20" i="19"/>
  <c r="AJ20" i="19"/>
  <c r="CJ20" i="19"/>
  <c r="U20" i="19"/>
  <c r="AG20" i="19"/>
  <c r="T20" i="19"/>
  <c r="AO13" i="27"/>
  <c r="V20" i="19"/>
  <c r="F11" i="17"/>
  <c r="AQ11" i="17" s="1"/>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K10" i="7" s="1"/>
  <c r="BF12" i="8"/>
  <c r="BD15" i="8"/>
  <c r="H15" i="7" s="1"/>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J9" i="7" s="1"/>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J12" i="12" s="1"/>
  <c r="E12" i="12"/>
  <c r="E18" i="3"/>
  <c r="I10" i="3"/>
  <c r="AV13" i="11"/>
  <c r="I19" i="11"/>
  <c r="J11" i="10"/>
  <c r="L11" i="10" s="1"/>
  <c r="AS19" i="11"/>
  <c r="BD12" i="8"/>
  <c r="BD17" i="8"/>
  <c r="AN10" i="11"/>
  <c r="AH20" i="8"/>
  <c r="D19" i="7"/>
  <c r="BG19" i="26"/>
  <c r="J10" i="10"/>
  <c r="L10" i="10" s="1"/>
  <c r="I20" i="8"/>
  <c r="M13" i="2"/>
  <c r="AH19" i="11"/>
  <c r="BG13" i="26"/>
  <c r="E19" i="7"/>
  <c r="AP18" i="11"/>
  <c r="AK19" i="17"/>
  <c r="AF13" i="17"/>
  <c r="AO12" i="11"/>
  <c r="AN11" i="11"/>
  <c r="J10" i="2"/>
  <c r="AC10" i="11"/>
  <c r="B13" i="7"/>
  <c r="AK20" i="8"/>
  <c r="H19" i="12"/>
  <c r="F17" i="17"/>
  <c r="AQ17" i="17" s="1"/>
  <c r="E9" i="6"/>
  <c r="M13" i="21"/>
  <c r="M20" i="21" s="1"/>
  <c r="BG12" i="8"/>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I19" i="2"/>
  <c r="J19" i="2" s="1"/>
  <c r="E15" i="6"/>
  <c r="Z13" i="17"/>
  <c r="C12" i="14"/>
  <c r="K12" i="14" s="1"/>
  <c r="AY13" i="8"/>
  <c r="BE12" i="21"/>
  <c r="BE13" i="21" s="1"/>
  <c r="BE20" i="21" s="1"/>
  <c r="C10" i="14"/>
  <c r="K10" i="14" s="1"/>
  <c r="C15" i="14"/>
  <c r="K15" i="14" s="1"/>
  <c r="E12" i="6"/>
  <c r="K12" i="12" s="1"/>
  <c r="J12" i="7"/>
  <c r="E11" i="6"/>
  <c r="D18" i="6"/>
  <c r="J18" i="12" s="1"/>
  <c r="AN18" i="11"/>
  <c r="AO18" i="11"/>
  <c r="C12" i="6"/>
  <c r="C11" i="6"/>
  <c r="F12" i="11"/>
  <c r="AQ12" i="11" s="1"/>
  <c r="D11" i="2"/>
  <c r="C10" i="6"/>
  <c r="I10" i="12" s="1"/>
  <c r="D11" i="12"/>
  <c r="AG13" i="21"/>
  <c r="AG20" i="21" s="1"/>
  <c r="BE12" i="8"/>
  <c r="I12" i="7" s="1"/>
  <c r="BF15" i="8"/>
  <c r="J15" i="7" s="1"/>
  <c r="K12" i="7"/>
  <c r="AN17" i="11"/>
  <c r="H11" i="2"/>
  <c r="L11" i="14"/>
  <c r="G19" i="2"/>
  <c r="H19" i="2" s="1"/>
  <c r="AL12" i="11"/>
  <c r="D17" i="6"/>
  <c r="H12" i="7"/>
  <c r="F12" i="2"/>
  <c r="AL11" i="11"/>
  <c r="AN15" i="11"/>
  <c r="D15" i="6"/>
  <c r="BF11" i="8"/>
  <c r="J11" i="7" s="1"/>
  <c r="AO17" i="11"/>
  <c r="B11" i="6"/>
  <c r="C17" i="6"/>
  <c r="I11" i="7"/>
  <c r="J9" i="2"/>
  <c r="L17" i="14"/>
  <c r="H18" i="2"/>
  <c r="D9" i="12"/>
  <c r="E9" i="12"/>
  <c r="B12" i="6"/>
  <c r="BE9" i="8"/>
  <c r="I9" i="7" s="1"/>
  <c r="H17" i="7"/>
  <c r="T19" i="17"/>
  <c r="E19" i="2"/>
  <c r="F19" i="2" s="1"/>
  <c r="E17" i="6"/>
  <c r="B17" i="6"/>
  <c r="R8" i="9"/>
  <c r="BH13" i="26" s="1"/>
  <c r="AL17" i="11"/>
  <c r="BG9" i="8"/>
  <c r="F11" i="12"/>
  <c r="H9" i="2"/>
  <c r="AN9" i="11"/>
  <c r="D9" i="6"/>
  <c r="J9" i="12" s="1"/>
  <c r="C9" i="6"/>
  <c r="C18" i="6"/>
  <c r="L18" i="14"/>
  <c r="W13" i="17"/>
  <c r="C15" i="6"/>
  <c r="S18" i="16"/>
  <c r="BM17" i="11"/>
  <c r="AF13" i="21"/>
  <c r="AF20" i="21" s="1"/>
  <c r="X15" i="16"/>
  <c r="X19" i="16" s="1"/>
  <c r="E18" i="6"/>
  <c r="B18" i="6"/>
  <c r="AL18" i="11"/>
  <c r="F9" i="12"/>
  <c r="Y9" i="11"/>
  <c r="U13" i="16"/>
  <c r="BD9" i="8"/>
  <c r="H9" i="7" s="1"/>
  <c r="F18" i="17"/>
  <c r="AQ18" i="17" s="1"/>
  <c r="D9" i="2"/>
  <c r="AO9" i="11"/>
  <c r="X11" i="17"/>
  <c r="B15" i="6"/>
  <c r="D15" i="2"/>
  <c r="C19" i="2"/>
  <c r="D19" i="2" s="1"/>
  <c r="AO15" i="11"/>
  <c r="AP19" i="20"/>
  <c r="AY19" i="8"/>
  <c r="BG15" i="8"/>
  <c r="L12" i="14"/>
  <c r="AS20" i="8"/>
  <c r="BG17" i="8"/>
  <c r="K17" i="7" s="1"/>
  <c r="X9" i="16"/>
  <c r="X20" i="16" s="1"/>
  <c r="AB13" i="21"/>
  <c r="AB20" i="21" s="1"/>
  <c r="BD11" i="8"/>
  <c r="H11" i="7" s="1"/>
  <c r="F18" i="11"/>
  <c r="AQ18" i="11" s="1"/>
  <c r="AQ10" i="17"/>
  <c r="F18" i="2"/>
  <c r="S15" i="14"/>
  <c r="V15" i="14" s="1"/>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AC18" i="11"/>
  <c r="C18" i="14"/>
  <c r="K18" i="14" s="1"/>
  <c r="L10" i="14"/>
  <c r="D10" i="6"/>
  <c r="H10" i="2"/>
  <c r="G13" i="2"/>
  <c r="AQ10" i="11"/>
  <c r="E13" i="2"/>
  <c r="F13" i="2" s="1"/>
  <c r="B10" i="6"/>
  <c r="E10" i="6"/>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F13" i="12" s="1"/>
  <c r="D19" i="3"/>
  <c r="E19" i="3" s="1"/>
  <c r="U12" i="17"/>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X19" i="17" s="1"/>
  <c r="AU19" i="11"/>
  <c r="CK20" i="8"/>
  <c r="AM13" i="16"/>
  <c r="AX19" i="16"/>
  <c r="AY19" i="16"/>
  <c r="L19" i="17"/>
  <c r="L20" i="17" s="1"/>
  <c r="BM13" i="16"/>
  <c r="AE13" i="16"/>
  <c r="AE20" i="16" s="1"/>
  <c r="AU22" i="21"/>
  <c r="BH20" i="8"/>
  <c r="AF19" i="16"/>
  <c r="AT19" i="16"/>
  <c r="BU19" i="16"/>
  <c r="K13" i="16"/>
  <c r="K20" i="16" s="1"/>
  <c r="P13" i="21"/>
  <c r="P20" i="21" s="1"/>
  <c r="BB13" i="8"/>
  <c r="BE13" i="8" s="1"/>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BF13" i="8" s="1"/>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X19" i="20" s="1"/>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BI20" i="26" s="1"/>
  <c r="C9" i="14"/>
  <c r="BC19" i="8"/>
  <c r="AZ19" i="8"/>
  <c r="AG19" i="11"/>
  <c r="AK19" i="11"/>
  <c r="E13" i="14"/>
  <c r="D11" i="6"/>
  <c r="J11" i="12" s="1"/>
  <c r="E11" i="3"/>
  <c r="BH17" i="16"/>
  <c r="AM18" i="11"/>
  <c r="P20" i="8"/>
  <c r="AO11" i="17"/>
  <c r="BA20" i="19"/>
  <c r="BD13" i="19"/>
  <c r="BF13" i="19"/>
  <c r="AD20" i="8"/>
  <c r="V20" i="8"/>
  <c r="U17" i="21"/>
  <c r="U19" i="21" s="1"/>
  <c r="V18" i="20"/>
  <c r="U15" i="17"/>
  <c r="U19" i="17" s="1"/>
  <c r="X18" i="16"/>
  <c r="D13" i="3"/>
  <c r="N20" i="8"/>
  <c r="G20" i="7" s="1"/>
  <c r="J11" i="2"/>
  <c r="F11" i="2"/>
  <c r="BE17" i="8"/>
  <c r="I17" i="7" s="1"/>
  <c r="BB19" i="8"/>
  <c r="AK13" i="11"/>
  <c r="BA19" i="8"/>
  <c r="AR20" i="13"/>
  <c r="AJ20" i="13"/>
  <c r="N19" i="17"/>
  <c r="I9" i="3"/>
  <c r="AN20" i="8"/>
  <c r="M19" i="16"/>
  <c r="E19" i="17"/>
  <c r="E20" i="17" s="1"/>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X10" i="16"/>
  <c r="I13" i="17"/>
  <c r="BF12" i="13"/>
  <c r="G19" i="16"/>
  <c r="AX13" i="16"/>
  <c r="BQ13" i="16"/>
  <c r="BQ19" i="16"/>
  <c r="BT19" i="16"/>
  <c r="AF19" i="17"/>
  <c r="Z13" i="16"/>
  <c r="U11" i="17"/>
  <c r="W20" i="21"/>
  <c r="R13" i="16"/>
  <c r="AR13" i="17"/>
  <c r="F12" i="17"/>
  <c r="AQ12" i="17" s="1"/>
  <c r="AI13" i="16"/>
  <c r="AI20" i="16" s="1"/>
  <c r="I19" i="17"/>
  <c r="L19" i="16"/>
  <c r="AZ19" i="20"/>
  <c r="AZ20" i="20" s="1"/>
  <c r="Y13" i="16"/>
  <c r="AT21" i="26"/>
  <c r="AB21" i="27"/>
  <c r="AP21" i="20"/>
  <c r="AI21" i="20"/>
  <c r="Q21" i="27"/>
  <c r="BH21" i="26"/>
  <c r="AG21" i="26"/>
  <c r="AQ21" i="21"/>
  <c r="X21" i="20"/>
  <c r="AF21" i="26"/>
  <c r="AY21" i="26"/>
  <c r="AG21" i="27"/>
  <c r="AQ21" i="20"/>
  <c r="AE21" i="27"/>
  <c r="Q21" i="20"/>
  <c r="U21" i="27"/>
  <c r="AZ21" i="20"/>
  <c r="BE21" i="26"/>
  <c r="AN21" i="27"/>
  <c r="V21" i="27"/>
  <c r="W21" i="27"/>
  <c r="AV21" i="27"/>
  <c r="O21" i="27"/>
  <c r="AV21" i="26"/>
  <c r="AC21" i="26"/>
  <c r="AE21" i="20"/>
  <c r="AF21" i="27"/>
  <c r="AW21" i="20"/>
  <c r="BF21" i="26"/>
  <c r="Q21" i="26"/>
  <c r="AF21" i="20"/>
  <c r="AQ21" i="27"/>
  <c r="AP21" i="26"/>
  <c r="O17" i="11"/>
  <c r="AK21" i="26"/>
  <c r="AD21" i="20"/>
  <c r="BA21" i="20"/>
  <c r="Z21" i="20"/>
  <c r="M21" i="20"/>
  <c r="AH21" i="26"/>
  <c r="U12" i="11"/>
  <c r="L21" i="20"/>
  <c r="AW21" i="27"/>
  <c r="U10" i="11"/>
  <c r="I21" i="26"/>
  <c r="AQ21" i="26"/>
  <c r="AS21" i="26"/>
  <c r="AB21" i="26"/>
  <c r="AV21" i="20"/>
  <c r="F21" i="20"/>
  <c r="J21" i="20"/>
  <c r="AL21" i="27"/>
  <c r="H21" i="20"/>
  <c r="P21" i="26"/>
  <c r="K21" i="27"/>
  <c r="AN21" i="20"/>
  <c r="AI21" i="26"/>
  <c r="T21" i="26"/>
  <c r="AA21" i="20"/>
  <c r="X21" i="27"/>
  <c r="T21" i="27"/>
  <c r="AK21" i="27"/>
  <c r="AR21" i="26"/>
  <c r="T21" i="21"/>
  <c r="AB21" i="20"/>
  <c r="AW21" i="26"/>
  <c r="BB21" i="26"/>
  <c r="AH21" i="27"/>
  <c r="I21" i="27"/>
  <c r="BM21" i="26"/>
  <c r="AO21" i="20"/>
  <c r="H21" i="27"/>
  <c r="N21" i="26"/>
  <c r="G19" i="14"/>
  <c r="J21" i="26"/>
  <c r="BJ21" i="26"/>
  <c r="X21" i="26"/>
  <c r="AC21" i="27"/>
  <c r="AY21" i="27"/>
  <c r="AC21" i="20"/>
  <c r="S21" i="20"/>
  <c r="W21" i="21"/>
  <c r="F21" i="27"/>
  <c r="J21" i="27"/>
  <c r="AD21" i="27"/>
  <c r="O21" i="26"/>
  <c r="AJ21" i="26"/>
  <c r="AR21" i="27"/>
  <c r="M21" i="27"/>
  <c r="AO21" i="27"/>
  <c r="BA21" i="26"/>
  <c r="U17" i="11"/>
  <c r="E21" i="26"/>
  <c r="AM21" i="27"/>
  <c r="AI21" i="27"/>
  <c r="Y21" i="27"/>
  <c r="L21" i="26"/>
  <c r="AE21" i="26"/>
  <c r="AY21" i="20"/>
  <c r="Z21" i="27"/>
  <c r="AH21" i="20"/>
  <c r="AZ21" i="27"/>
  <c r="Y21" i="20"/>
  <c r="E21" i="27"/>
  <c r="O21" i="20"/>
  <c r="E21" i="20"/>
  <c r="P21" i="20"/>
  <c r="BG21" i="26"/>
  <c r="L21" i="27"/>
  <c r="BN21" i="26"/>
  <c r="BO21" i="26"/>
  <c r="U21" i="26"/>
  <c r="G13" i="14"/>
  <c r="AA21" i="26"/>
  <c r="BA21" i="27"/>
  <c r="Y21" i="26"/>
  <c r="AL21" i="20"/>
  <c r="AJ21" i="20"/>
  <c r="P21" i="27"/>
  <c r="Z21" i="26"/>
  <c r="AL21" i="26"/>
  <c r="AO21" i="26"/>
  <c r="BK21" i="26"/>
  <c r="AD21" i="26"/>
  <c r="K21" i="26"/>
  <c r="F21" i="26"/>
  <c r="T21" i="20"/>
  <c r="M21" i="26"/>
  <c r="AP21" i="27"/>
  <c r="AX21" i="20"/>
  <c r="AU21" i="26"/>
  <c r="R21" i="26"/>
  <c r="BR21" i="26"/>
  <c r="K21" i="20"/>
  <c r="AX21" i="26"/>
  <c r="W21" i="26"/>
  <c r="N21" i="27"/>
  <c r="AM21" i="20"/>
  <c r="AU21" i="20"/>
  <c r="BC21" i="26"/>
  <c r="W21" i="20"/>
  <c r="BD21" i="26"/>
  <c r="AJ21" i="27"/>
  <c r="BS21" i="26"/>
  <c r="AM21" i="26"/>
  <c r="AX21" i="27"/>
  <c r="R21" i="27"/>
  <c r="BI21" i="26"/>
  <c r="H21" i="26"/>
  <c r="AZ21" i="26"/>
  <c r="BQ21" i="26"/>
  <c r="R21" i="20"/>
  <c r="V21" i="26"/>
  <c r="N21" i="20"/>
  <c r="AG21" i="20"/>
  <c r="AK21" i="20"/>
  <c r="S21" i="27"/>
  <c r="AU21" i="27"/>
  <c r="BP21" i="26"/>
  <c r="S21" i="26"/>
  <c r="AN21" i="26"/>
  <c r="U18" i="11"/>
  <c r="I21" i="20"/>
  <c r="AT21" i="27"/>
  <c r="AV21" i="21"/>
  <c r="AW21" i="11"/>
  <c r="H21" i="17"/>
  <c r="O10" i="11"/>
  <c r="AA21" i="27"/>
  <c r="BR21" i="16"/>
  <c r="BP21" i="16"/>
  <c r="AX21" i="21"/>
  <c r="I18" i="12" l="1"/>
  <c r="I15" i="12"/>
  <c r="K10" i="12"/>
  <c r="AA13" i="26"/>
  <c r="X17" i="20"/>
  <c r="BV12" i="16"/>
  <c r="BD19" i="13"/>
  <c r="S16" i="16"/>
  <c r="BW16" i="27"/>
  <c r="P16" i="17"/>
  <c r="S16" i="26"/>
  <c r="BL16" i="11"/>
  <c r="BJ16" i="11"/>
  <c r="BH16" i="11"/>
  <c r="BF16" i="11"/>
  <c r="AP16" i="20"/>
  <c r="BV16" i="16"/>
  <c r="BH16" i="16"/>
  <c r="T16" i="16"/>
  <c r="AP16" i="27"/>
  <c r="BU16" i="17"/>
  <c r="Q16" i="17"/>
  <c r="BV16" i="26"/>
  <c r="BH16" i="26"/>
  <c r="T16" i="26"/>
  <c r="BM16" i="11"/>
  <c r="BK16" i="11"/>
  <c r="BI16" i="11"/>
  <c r="BG16" i="11"/>
  <c r="V16" i="11"/>
  <c r="AZ16" i="11"/>
  <c r="X16" i="26"/>
  <c r="V16" i="27"/>
  <c r="V16" i="20"/>
  <c r="T16" i="11"/>
  <c r="V16" i="26"/>
  <c r="S16" i="17"/>
  <c r="V16" i="16"/>
  <c r="AM16" i="11"/>
  <c r="AO16" i="17"/>
  <c r="S16" i="14"/>
  <c r="V16" i="14" s="1"/>
  <c r="U16" i="17"/>
  <c r="X16" i="16"/>
  <c r="L16" i="2"/>
  <c r="R16" i="14"/>
  <c r="AA16" i="26"/>
  <c r="X16" i="17"/>
  <c r="AA16" i="16"/>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V19" i="26" s="1"/>
  <c r="AA19" i="26"/>
  <c r="BH19" i="26"/>
  <c r="AD13" i="14"/>
  <c r="M13" i="14"/>
  <c r="AA13" i="14"/>
  <c r="P13" i="14"/>
  <c r="X13" i="14"/>
  <c r="AB13" i="14"/>
  <c r="H13" i="14"/>
  <c r="Z13" i="14"/>
  <c r="Y13" i="14"/>
  <c r="W13" i="14"/>
  <c r="Q13" i="14"/>
  <c r="AC13" i="14"/>
  <c r="U19" i="11"/>
  <c r="AA19" i="14"/>
  <c r="H19" i="14"/>
  <c r="X19" i="14"/>
  <c r="Q19" i="14"/>
  <c r="Y19" i="14"/>
  <c r="AB19" i="14"/>
  <c r="W19" i="14"/>
  <c r="Z19" i="14"/>
  <c r="AD19" i="14"/>
  <c r="P19" i="14"/>
  <c r="AC19" i="14"/>
  <c r="M19" i="14"/>
  <c r="AS21" i="27"/>
  <c r="BL21" i="26"/>
  <c r="U22" i="11"/>
  <c r="U20" i="11"/>
  <c r="U13" i="11"/>
  <c r="V10" i="11"/>
  <c r="O19" i="11"/>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BV19" i="26" l="1"/>
  <c r="X20" i="26"/>
  <c r="X13" i="26"/>
  <c r="BV13" i="26"/>
  <c r="BV20" i="26"/>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BV22" i="26" l="1"/>
  <c r="V18" i="14"/>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BI20" i="11" s="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AP21" i="16"/>
  <c r="Q21" i="21"/>
  <c r="BH21" i="16"/>
  <c r="W21" i="16"/>
  <c r="BC21" i="16"/>
  <c r="L21" i="11"/>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21"/>
  <c r="AL21" i="16"/>
  <c r="AB21" i="21"/>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<sst xmlns="http://schemas.openxmlformats.org/spreadsheetml/2006/main" count="2513" uniqueCount="1026">
  <si>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</si>
  <si>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</si>
  <si>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</si>
  <si>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</si>
  <si>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</si>
  <si>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</si>
  <si>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</si>
  <si>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</si>
  <si>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</si>
  <si>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</si>
  <si>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</si>
  <si>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</si>
  <si>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</si>
  <si>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</si>
  <si>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</si>
  <si>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</si>
  <si>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</si>
  <si>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</si>
  <si>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</si>
  <si>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</si>
  <si>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</si>
  <si>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</si>
  <si>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</si>
  <si>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</si>
  <si>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</si>
  <si>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</si>
  <si>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</si>
  <si>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</si>
  <si>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</si>
  <si>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</si>
  <si>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</si>
  <si>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</si>
  <si>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</si>
  <si>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</si>
  <si>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</si>
  <si>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</si>
  <si>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</si>
  <si>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</si>
  <si>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</si>
  <si>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</si>
  <si>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</si>
  <si>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</si>
  <si>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</si>
  <si>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</si>
  <si>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</si>
  <si>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</si>
  <si>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</si>
  <si>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</si>
  <si>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</si>
  <si>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</si>
  <si>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</si>
  <si>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</si>
  <si>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</si>
  <si>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</si>
  <si>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</si>
  <si>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</si>
  <si>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</si>
  <si>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</si>
  <si>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</si>
  <si>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</si>
  <si>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</si>
  <si>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</si>
  <si>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</si>
  <si>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</si>
  <si>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</si>
  <si>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</si>
  <si>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</si>
  <si>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</si>
  <si>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</si>
  <si>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</si>
  <si>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</si>
  <si>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</si>
  <si>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</si>
  <si>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</si>
  <si>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</si>
  <si>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</si>
  <si>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</si>
  <si>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</si>
  <si>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</si>
  <si>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</si>
  <si>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</si>
  <si>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</si>
  <si>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</si>
  <si>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</si>
  <si>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</si>
  <si>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</si>
  <si>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</si>
  <si>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</si>
  <si>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</si>
  <si>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</si>
  <si>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</si>
  <si>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</si>
  <si>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</si>
  <si>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</si>
  <si>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</si>
  <si>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</si>
  <si>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</si>
  <si>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</si>
  <si>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</si>
  <si>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</si>
  <si>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</si>
  <si>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</si>
  <si>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</si>
  <si>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</si>
  <si>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</si>
  <si>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</si>
  <si>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</si>
  <si>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</si>
  <si>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</si>
  <si>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</si>
  <si>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</si>
  <si>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</si>
  <si>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</si>
  <si>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</si>
  <si>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</si>
  <si>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</si>
  <si>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</si>
  <si>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</si>
  <si>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</si>
  <si>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</si>
  <si>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</si>
  <si>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</si>
  <si>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</si>
  <si>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</si>
  <si>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</si>
  <si>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</si>
  <si>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</si>
  <si>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</si>
  <si>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</si>
  <si>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</si>
  <si>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</si>
  <si>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</si>
  <si>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</si>
  <si>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</si>
  <si>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</si>
  <si>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</si>
  <si>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</si>
  <si>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</si>
  <si>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</si>
  <si>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</si>
  <si>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</si>
  <si>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</si>
  <si>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</si>
  <si>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</si>
  <si>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</si>
  <si>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</si>
  <si>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</si>
  <si>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</si>
  <si>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</si>
  <si>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</si>
  <si>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</si>
  <si>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</si>
  <si>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</si>
  <si>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</si>
  <si>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</si>
  <si>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</si>
  <si>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</si>
  <si>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</si>
  <si>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</si>
  <si>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</si>
  <si>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</si>
  <si>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</si>
  <si>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</si>
  <si>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</si>
  <si>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</si>
  <si>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</si>
  <si>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</si>
  <si>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</si>
  <si>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</si>
  <si>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</si>
  <si>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</si>
  <si>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</si>
  <si>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</si>
  <si>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</si>
  <si>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</si>
  <si>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</si>
  <si>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</si>
  <si>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</si>
  <si>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</si>
  <si>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</si>
  <si>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</si>
  <si>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</si>
  <si>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</si>
  <si>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</si>
  <si>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</si>
  <si>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</si>
  <si>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</si>
  <si>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</si>
  <si>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</si>
  <si>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</si>
  <si>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</si>
  <si>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</si>
  <si>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</si>
  <si>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</si>
  <si>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</si>
  <si>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</si>
  <si>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</si>
  <si>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</si>
  <si>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</si>
  <si>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</si>
  <si>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</si>
  <si>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</si>
  <si>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</si>
  <si>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</si>
  <si>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</si>
  <si>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</si>
  <si>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</si>
  <si>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</si>
  <si>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</si>
  <si>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</si>
  <si>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</si>
  <si>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</si>
  <si>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</si>
  <si>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</si>
  <si>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</si>
  <si>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</si>
  <si>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</si>
  <si>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</si>
  <si>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</si>
  <si>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</si>
  <si>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</si>
  <si>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</si>
  <si>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</si>
  <si>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</si>
  <si>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</si>
  <si>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</si>
  <si>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</si>
  <si>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</si>
  <si>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</si>
  <si>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</si>
  <si>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</si>
  <si>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</si>
  <si>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</si>
  <si>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</si>
  <si>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</si>
  <si>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</si>
  <si>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</si>
  <si>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</si>
  <si>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</si>
  <si>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</si>
  <si>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</si>
  <si>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</si>
  <si>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</si>
  <si>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</si>
  <si>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</si>
  <si>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</si>
  <si>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</si>
  <si>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</si>
  <si>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</si>
  <si>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</si>
  <si>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</si>
  <si>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</si>
  <si>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</si>
  <si>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</si>
  <si>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</si>
  <si>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</si>
  <si>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</si>
  <si>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</si>
  <si>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</si>
  <si>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</si>
  <si>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</si>
  <si>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</si>
  <si>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</si>
  <si>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</si>
  <si>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</si>
  <si>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</si>
  <si>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</si>
  <si>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</si>
  <si>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</si>
  <si>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</si>
  <si>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</si>
  <si>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</si>
  <si>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</si>
  <si>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</si>
  <si>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</si>
  <si>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</si>
  <si>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</si>
  <si>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</si>
  <si>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</si>
  <si>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</si>
  <si>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</si>
  <si>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</si>
  <si>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</si>
  <si>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</si>
  <si>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</si>
  <si>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</si>
  <si>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</si>
  <si>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</si>
  <si>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</si>
  <si>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</si>
  <si>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</si>
  <si>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</si>
  <si>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</si>
  <si>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</si>
  <si>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</si>
  <si>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</si>
  <si>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</si>
  <si>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</si>
  <si>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</si>
  <si>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</si>
  <si>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</si>
  <si>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</si>
  <si>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</si>
  <si>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</si>
  <si>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</si>
  <si>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</si>
  <si>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</si>
  <si>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</si>
  <si>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</si>
  <si>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</si>
  <si>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</si>
  <si>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</si>
  <si>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</si>
  <si>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</si>
  <si>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</si>
  <si>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</si>
  <si>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</si>
  <si>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</si>
  <si>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</si>
  <si>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</si>
  <si>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</si>
  <si>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</si>
  <si>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</si>
  <si>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</si>
  <si>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</si>
  <si>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</si>
  <si>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</si>
  <si>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</si>
  <si>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</si>
  <si>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</si>
  <si>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</si>
  <si>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</si>
  <si>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</si>
  <si>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</si>
  <si>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</si>
  <si>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</si>
  <si>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</si>
  <si>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</si>
  <si>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</si>
  <si>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</si>
  <si>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</si>
  <si>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</si>
  <si>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</si>
  <si>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</si>
  <si>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</si>
  <si>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</si>
  <si>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</si>
  <si>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</si>
  <si>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</si>
  <si>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</si>
  <si>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</si>
  <si>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</si>
  <si>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</si>
  <si>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</si>
  <si>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</si>
  <si>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</si>
  <si>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</si>
  <si>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</si>
  <si>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</si>
  <si>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</si>
  <si>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</si>
  <si>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</si>
  <si>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</si>
  <si>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</si>
  <si>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</si>
  <si>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</si>
  <si>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</si>
  <si>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</si>
  <si>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</si>
  <si>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</si>
  <si>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</si>
  <si>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</si>
  <si>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</si>
  <si>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</si>
  <si>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</si>
  <si>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</si>
  <si>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</si>
  <si>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</si>
  <si>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</si>
  <si>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</si>
  <si>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</si>
  <si>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</si>
  <si>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</si>
  <si>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</si>
  <si>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</si>
  <si>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</si>
  <si>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</si>
  <si>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</si>
  <si>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</si>
  <si>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</si>
  <si>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</si>
  <si>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</si>
  <si>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</si>
  <si>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</si>
  <si>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</si>
  <si>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</si>
  <si>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</si>
  <si>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</si>
  <si>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</si>
  <si>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</si>
  <si>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</si>
  <si>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</si>
  <si>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</si>
  <si>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</si>
  <si>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</si>
  <si>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</si>
  <si>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</si>
  <si>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</si>
  <si>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</si>
  <si>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</si>
  <si>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</si>
  <si>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</si>
  <si>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</si>
  <si>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</si>
  <si>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</si>
  <si>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</si>
  <si>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</si>
  <si>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</si>
  <si>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</si>
  <si>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</si>
  <si>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</si>
  <si>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</si>
  <si>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</si>
  <si>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</si>
  <si>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</si>
  <si>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</si>
  <si>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</si>
  <si>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</si>
  <si>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</si>
  <si>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</si>
  <si>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</si>
  <si>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</si>
  <si>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</si>
  <si>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</si>
  <si>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</si>
  <si>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</si>
  <si>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</si>
  <si>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</si>
  <si>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</si>
  <si>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</si>
  <si>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</si>
  <si>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</si>
  <si>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</si>
  <si>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</si>
  <si>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</si>
  <si>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</si>
  <si>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</si>
  <si>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</si>
  <si>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</si>
  <si>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</si>
  <si>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</si>
  <si>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</si>
  <si>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</si>
  <si>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</si>
  <si>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</si>
  <si>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</si>
  <si>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</si>
  <si>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</si>
  <si>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</si>
  <si>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</si>
  <si>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</si>
  <si>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</si>
  <si>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</si>
  <si>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</si>
  <si>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</si>
  <si>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</si>
  <si>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</si>
  <si>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</si>
  <si>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</si>
  <si>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</si>
  <si>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</si>
  <si>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</si>
  <si>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</si>
  <si>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</si>
  <si>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</si>
  <si>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</si>
  <si>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</si>
  <si>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</si>
  <si>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</si>
  <si>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</si>
  <si>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</si>
  <si>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</si>
  <si>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</si>
  <si>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</si>
  <si>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</si>
  <si>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</si>
  <si>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</si>
  <si>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</si>
  <si>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</si>
  <si>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</si>
  <si>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</si>
  <si>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</si>
  <si>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</si>
  <si>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</si>
  <si>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</si>
  <si>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</si>
  <si>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</si>
  <si>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</si>
  <si>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</si>
  <si>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</si>
  <si>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</si>
  <si>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</si>
  <si>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</si>
  <si>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</si>
  <si>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</si>
  <si>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</si>
  <si>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</si>
  <si>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</si>
  <si>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</si>
  <si>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</si>
  <si>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</si>
  <si>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</si>
  <si>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</si>
  <si>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</si>
  <si>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</si>
  <si>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</si>
  <si>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</si>
  <si>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</si>
  <si>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</si>
  <si>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</si>
  <si>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</si>
  <si>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</si>
  <si>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</si>
  <si>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</si>
  <si>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</si>
  <si>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</si>
  <si>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</si>
  <si>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</si>
  <si>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</si>
  <si>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</si>
  <si>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</si>
  <si>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</si>
  <si>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</si>
  <si>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</si>
  <si>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</si>
  <si>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</si>
  <si>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</si>
  <si>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</si>
  <si>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</si>
  <si>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</si>
  <si>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</si>
  <si>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</si>
  <si>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</si>
  <si>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</si>
  <si>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</si>
  <si>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</si>
  <si>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</si>
  <si>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</si>
  <si>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</si>
  <si>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</si>
  <si>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</si>
  <si>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</si>
  <si>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</si>
  <si>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</si>
  <si>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</si>
  <si>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</si>
  <si>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</si>
  <si>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</si>
  <si>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</si>
  <si>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</si>
  <si>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</si>
  <si>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</si>
  <si>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</si>
  <si>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</si>
  <si>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</si>
  <si>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</si>
  <si>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</si>
  <si>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</si>
  <si>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</si>
  <si>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</si>
  <si>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</si>
  <si>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</si>
  <si>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</si>
  <si>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</si>
  <si>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</si>
  <si>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</si>
  <si>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</si>
  <si>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</si>
  <si>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</si>
  <si>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</si>
  <si>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</si>
  <si>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</si>
  <si>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</si>
  <si>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</si>
  <si>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</si>
  <si>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</si>
  <si>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</si>
  <si>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</si>
  <si>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</si>
  <si>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</si>
  <si>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</si>
  <si>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</si>
  <si>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</si>
  <si>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</si>
  <si>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</si>
  <si>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</si>
  <si>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</si>
  <si>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</si>
  <si>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</si>
  <si>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</si>
  <si>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</si>
  <si>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</si>
  <si>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</si>
  <si>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</si>
  <si>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</si>
  <si>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</si>
  <si>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</si>
  <si>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</si>
  <si>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</si>
  <si>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</si>
  <si>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</si>
  <si>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</si>
  <si>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</si>
  <si>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</si>
  <si>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</si>
  <si>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</si>
  <si>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</si>
  <si>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</si>
  <si>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</si>
  <si>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</si>
  <si>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</si>
  <si>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</si>
  <si>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</si>
  <si>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</si>
  <si>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</si>
  <si>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</si>
  <si>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</si>
  <si>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</si>
  <si>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</si>
  <si>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</si>
  <si>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</si>
  <si>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</si>
  <si>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</si>
  <si>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</si>
  <si>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</si>
  <si>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</si>
  <si>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</si>
  <si>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</si>
  <si>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</si>
  <si>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</si>
  <si>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</si>
  <si>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</si>
  <si>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</si>
  <si>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</si>
  <si>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</si>
  <si>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</si>
  <si>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</si>
  <si>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</si>
  <si>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</si>
  <si>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</si>
  <si>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</si>
  <si>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</si>
  <si>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</si>
  <si>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</si>
  <si>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</si>
  <si>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</si>
  <si>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</si>
  <si>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</si>
  <si>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</si>
  <si>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</si>
  <si>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</si>
  <si>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</si>
  <si>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</si>
  <si>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</si>
  <si>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</si>
  <si>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</si>
  <si>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</si>
  <si>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</si>
  <si>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</si>
  <si>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</si>
  <si>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</si>
  <si>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</si>
  <si>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</si>
  <si>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</si>
  <si>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</si>
  <si>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</si>
  <si>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</si>
  <si>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</si>
  <si>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</si>
  <si>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</si>
  <si>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</si>
  <si>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</si>
  <si>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</si>
  <si>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</si>
  <si>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</si>
  <si>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</si>
  <si>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</si>
  <si>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</si>
  <si>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</si>
  <si>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</si>
  <si>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</si>
  <si>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</si>
  <si>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</si>
  <si>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</si>
  <si>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</si>
  <si>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</si>
  <si>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</si>
  <si>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</si>
  <si>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</si>
  <si>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</si>
  <si>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</si>
  <si>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</si>
  <si>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</si>
  <si>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</si>
  <si>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</si>
  <si>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</si>
  <si>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</si>
  <si>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</si>
  <si>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</si>
  <si>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</si>
  <si>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</si>
  <si>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</si>
  <si>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</si>
  <si>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</si>
  <si>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</si>
  <si>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</si>
  <si>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</si>
  <si>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</si>
  <si>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</si>
  <si>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</si>
  <si>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</si>
  <si>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</si>
  <si>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</si>
  <si>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</si>
  <si>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</si>
  <si>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</si>
  <si>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</si>
  <si>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</si>
  <si>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</si>
  <si>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</si>
  <si>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</si>
  <si>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</si>
  <si>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</si>
  <si>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</si>
  <si>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</si>
  <si>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</si>
  <si>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</si>
  <si>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</si>
  <si>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</si>
  <si>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</si>
  <si>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</si>
  <si>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</si>
  <si>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</si>
  <si>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</si>
  <si>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</si>
  <si>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</si>
  <si>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</si>
  <si>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</si>
  <si>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</si>
  <si>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</si>
  <si>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</si>
  <si>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</si>
  <si>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</si>
  <si>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</si>
  <si>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</si>
  <si>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</si>
  <si>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</si>
  <si>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</si>
  <si>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</si>
  <si>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</si>
  <si>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</si>
  <si>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</si>
  <si>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</si>
  <si>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</si>
  <si>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</si>
  <si>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</si>
  <si>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</si>
  <si>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</si>
  <si>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</si>
  <si>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</si>
  <si>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</si>
  <si>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</si>
  <si>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</si>
  <si>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</si>
  <si>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</si>
  <si>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</si>
  <si>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</si>
  <si>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</si>
  <si>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</si>
  <si>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</si>
  <si>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</si>
  <si>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</si>
  <si>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</si>
  <si>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</si>
  <si>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</si>
  <si>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</si>
  <si>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</si>
  <si>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</si>
  <si>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</si>
  <si>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</si>
  <si>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</si>
  <si>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</si>
  <si>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</si>
  <si>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</si>
  <si>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</si>
  <si>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</si>
  <si>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</si>
  <si>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</si>
  <si>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</si>
  <si>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</si>
  <si>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</si>
  <si>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</si>
  <si>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</si>
  <si>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</si>
  <si>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</si>
  <si>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</si>
  <si>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</si>
  <si>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</si>
  <si>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</si>
  <si>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</si>
  <si>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</si>
  <si>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</si>
  <si>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</si>
  <si>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</si>
  <si>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</si>
  <si>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</si>
  <si>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</si>
  <si>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</si>
  <si>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</si>
  <si>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</si>
  <si>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</si>
  <si>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</si>
  <si>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</si>
  <si>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</si>
  <si>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</si>
  <si>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</si>
  <si>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</si>
  <si>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</si>
  <si>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</si>
  <si>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</si>
  <si>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</si>
  <si>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</si>
  <si>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</si>
  <si>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</si>
  <si>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</si>
  <si>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</si>
  <si>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</si>
  <si>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</si>
  <si>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</si>
  <si>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</si>
  <si>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</si>
  <si>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</si>
  <si>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</si>
  <si>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</si>
  <si>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</si>
  <si>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</si>
  <si>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</si>
  <si>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</si>
  <si>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</si>
  <si>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</si>
  <si>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</si>
  <si>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</si>
  <si>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</si>
  <si>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</si>
  <si>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</si>
  <si>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</si>
  <si>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</si>
  <si>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</si>
  <si>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</si>
  <si>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</si>
  <si>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</si>
  <si>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</si>
  <si>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</si>
  <si>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</si>
  <si>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</si>
  <si>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</si>
  <si>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</si>
  <si>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</si>
  <si>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</si>
  <si>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</si>
  <si>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</si>
  <si>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</si>
  <si>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</si>
  <si>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</si>
  <si>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</si>
  <si>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</si>
  <si>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</si>
  <si>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</si>
  <si>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</si>
  <si>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</si>
  <si>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</si>
  <si>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</si>
  <si>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</si>
  <si>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</si>
  <si>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</si>
  <si>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</si>
  <si>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</si>
  <si>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</si>
  <si>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</si>
  <si>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</si>
  <si>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</si>
  <si>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</si>
  <si>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</si>
  <si>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</si>
  <si>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</si>
  <si>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</si>
  <si>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</si>
  <si>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</si>
  <si>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</si>
  <si>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</si>
  <si>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</si>
  <si>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</si>
  <si>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</si>
  <si>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</si>
  <si>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</si>
  <si>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</si>
  <si>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</si>
  <si>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</si>
  <si>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</si>
  <si>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</si>
  <si>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</si>
  <si>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</si>
  <si>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</si>
  <si>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</si>
  <si>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</si>
  <si>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</si>
  <si>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</si>
  <si>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</si>
  <si>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</si>
  <si>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</si>
  <si>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</si>
  <si>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</si>
  <si>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</si>
  <si>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</si>
  <si>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</si>
  <si>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</si>
  <si>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</si>
  <si>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</si>
  <si>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</si>
  <si>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</si>
  <si>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</si>
  <si>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</si>
  <si>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</si>
  <si>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</si>
  <si>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</si>
  <si>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</si>
  <si>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</si>
  <si>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</si>
  <si>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</si>
  <si>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</si>
  <si>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</si>
  <si>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</si>
  <si>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</si>
  <si>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</si>
  <si>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</si>
  <si>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</si>
  <si>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</si>
  <si>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</si>
  <si>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</si>
  <si>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</si>
  <si>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</si>
  <si>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</si>
  <si>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</si>
  <si>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</si>
  <si>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</si>
  <si>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</si>
  <si>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</si>
  <si>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</si>
  <si>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</si>
  <si>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</si>
  <si>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</si>
  <si>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</si>
  <si>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</si>
  <si>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</si>
  <si>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</si>
  <si>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</si>
  <si>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</si>
  <si>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</si>
  <si>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</si>
  <si>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</si>
  <si>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</si>
  <si>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</si>
  <si>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</si>
  <si>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</si>
  <si>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</si>
  <si>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</si>
  <si>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</si>
  <si>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</si>
  <si>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</si>
  <si>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</si>
  <si>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</si>
  <si>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</si>
  <si>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</si>
  <si>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</si>
  <si>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</si>
  <si>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</si>
  <si>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</si>
  <si>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</si>
  <si>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</si>
  <si>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</si>
  <si>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</si>
  <si>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</si>
  <si>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</si>
  <si>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</si>
  <si>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</si>
  <si>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</si>
  <si>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</si>
  <si>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</si>
  <si>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</si>
  <si>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</si>
  <si>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</si>
  <si>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</si>
  <si>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</si>
  <si>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</si>
  <si>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</si>
  <si>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</si>
  <si>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</si>
  <si>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</si>
  <si>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</si>
  <si>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</si>
  <si>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</si>
  <si>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</si>
  <si>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</si>
  <si>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</si>
  <si>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</si>
  <si>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</si>
  <si>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</si>
  <si>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</si>
  <si>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</si>
  <si>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</si>
  <si>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</si>
  <si>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</si>
  <si>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COMUNIDAD VALENCIANA</t>
  </si>
  <si>
    <t>Provincias</t>
  </si>
  <si>
    <t>VALENCIA</t>
  </si>
  <si>
    <t>Resumenes por Partidos Judiciales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</si>
</sst>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1024</v>
      </c>
      <c r="C10" s="371"/>
      <c r="D10" s="371"/>
      <c r="E10" s="380"/>
      <c r="F10" s="3"/>
      <c r="Q10" s="345">
        <v>0</v>
      </c>
    </row>
    <row r="11" spans="1:19" ht="13.5" thickBot="1">
      <c r="A11" s="381" t="s">
        <v>1025</v>
      </c>
      <c r="B11" s="382" t="s">
        <v>1024</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uLgXgoRqENWkXTUJuoAUMr/YTiiDSsH5feMG1P6EF2TXfX3f3HX3U+Pbs4R4MoB6ThE8Ksd5d218vuGfnbak5g==" saltValue="oHO7lgnTzHRGENgUsB01ew=="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COMUNIDAD VALENCIANA</v>
      </c>
      <c r="C2" s="374"/>
      <c r="D2" s="374"/>
      <c r="E2" s="374"/>
      <c r="F2" s="374"/>
    </row>
    <row r="3" spans="1:69" ht="19.5">
      <c r="A3" s="389" t="s">
        <v>115</v>
      </c>
      <c r="B3" s="390" t="str">
        <f>Criterios!A10 &amp;"  "&amp;Criterios!B10</f>
        <v>Provincias  VALENCIA</v>
      </c>
      <c r="D3" s="374"/>
      <c r="E3" s="374"/>
      <c r="F3" s="374"/>
      <c r="BQ3" s="470"/>
    </row>
    <row r="4" spans="1:69" ht="13.5" thickBot="1">
      <c r="A4" s="374"/>
      <c r="B4" s="390" t="str">
        <f>Criterios!A11 &amp;"  "&amp;Criterios!B11</f>
        <v>Resumenes por Partidos Judiciales  VALENCIA</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24</v>
      </c>
      <c r="C9" s="402">
        <f>IF(ISNUMBER(IF(J_V="SI",Datos!I9,Datos!I9+Datos!Y9)),IF(J_V="SI",Datos!I9,Datos!I9+Datos!Y9)," - ")</f>
        <v>36876</v>
      </c>
      <c r="D9" s="403">
        <f>IF(ISNUMBER(C9/Datos!BH9),C9/Datos!BH9," - ")</f>
        <v>1418.3076923076924</v>
      </c>
      <c r="E9" s="402">
        <f>IF(ISNUMBER(IF(J_V="SI",Datos!J9,Datos!J9+Datos!Z9)),IF(J_V="SI",Datos!J9,Datos!J9+Datos!Z9)," - ")</f>
        <v>11688</v>
      </c>
      <c r="F9" s="403">
        <f>IF(ISNUMBER(E9/B9),E9/B9," - ")</f>
        <v>487</v>
      </c>
      <c r="G9" s="402">
        <f>IF(ISNUMBER(IF(J_V="SI",Datos!K9,Datos!K9+Datos!AA9)),IF(J_V="SI",Datos!K9,Datos!K9+Datos!AA9)," - ")</f>
        <v>12550</v>
      </c>
      <c r="H9" s="403">
        <f>IF(ISNUMBER(G9/B9),G9/B9," - ")</f>
        <v>522.91666666666663</v>
      </c>
      <c r="I9" s="402">
        <f>IF(ISNUMBER(IF(J_V="SI",Datos!L9,Datos!L9+Datos!AB9)),IF(J_V="SI",Datos!L9,Datos!L9+Datos!AB9)," - ")</f>
        <v>36145</v>
      </c>
      <c r="J9" s="403">
        <f>IF(ISNUMBER(I9/B9),I9/B9," - ")</f>
        <v>1506.0416666666667</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6</v>
      </c>
      <c r="C10" s="402">
        <f>IF(ISNUMBER(Datos!I10),Datos!I10," - ")</f>
        <v>367</v>
      </c>
      <c r="D10" s="403">
        <f>IF(ISNUMBER(C10/Datos!BH10),C10/Datos!BH10," - ")</f>
        <v>61.166666666666664</v>
      </c>
      <c r="E10" s="402">
        <f>IF(ISNUMBER(Datos!J10),Datos!J10," - ")</f>
        <v>239</v>
      </c>
      <c r="F10" s="403">
        <f>IF(ISNUMBER(E10/B10),E10/B10," - ")</f>
        <v>39.833333333333336</v>
      </c>
      <c r="G10" s="402">
        <f>IF(ISNUMBER(Datos!K10),Datos!K10," - ")</f>
        <v>230</v>
      </c>
      <c r="H10" s="403">
        <f>IF(ISNUMBER(G10/B10),G10/B10," - ")</f>
        <v>38.333333333333336</v>
      </c>
      <c r="I10" s="402">
        <f>IF(ISNUMBER(Datos!L10),Datos!L10," - ")</f>
        <v>376</v>
      </c>
      <c r="J10" s="403">
        <f>IF(ISNUMBER(I10/B10),I10/B10," - ")</f>
        <v>62.666666666666664</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6</v>
      </c>
      <c r="C11" s="402">
        <f>IF(ISNUMBER(IF(J_V="SI",Datos!I11,Datos!I11+Datos!Y11)),IF(J_V="SI",Datos!I11,Datos!I11+Datos!Y11)," - ")</f>
        <v>1583</v>
      </c>
      <c r="D11" s="403">
        <f>IF(ISNUMBER(C11/Datos!BH11),C11/Datos!BH11," - ")</f>
        <v>158.30000000000001</v>
      </c>
      <c r="E11" s="402">
        <f>IF(ISNUMBER(IF(J_V="SI",Datos!J11,Datos!J11+Datos!Z11)),IF(J_V="SI",Datos!J11,Datos!J11+Datos!Z11)," - ")</f>
        <v>2251</v>
      </c>
      <c r="F11" s="403">
        <f>IF(ISNUMBER(E11/B11),E11/B11," - ")</f>
        <v>375.16666666666669</v>
      </c>
      <c r="G11" s="402">
        <f>IF(ISNUMBER(IF(J_V="SI",Datos!K11,Datos!K11+Datos!AA11)),IF(J_V="SI",Datos!K11,Datos!K11+Datos!AA11)," - ")</f>
        <v>2220</v>
      </c>
      <c r="H11" s="403">
        <f>IF(ISNUMBER(G11/B11),G11/B11," - ")</f>
        <v>370</v>
      </c>
      <c r="I11" s="402">
        <f>IF(ISNUMBER(IF(J_V="SI",Datos!L11,Datos!L11+Datos!AB11)),IF(J_V="SI",Datos!L11,Datos!L11+Datos!AB11)," - ")</f>
        <v>1789</v>
      </c>
      <c r="J11" s="403">
        <f>IF(ISNUMBER(I11/B11),I11/B11," - ")</f>
        <v>298.16666666666669</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0</v>
      </c>
      <c r="C12" s="402" t="str">
        <f>IF(ISNUMBER(IF(J_V="SI",Datos!I12,Datos!I12+Datos!Y12)),IF(J_V="SI",Datos!I12,Datos!I12+Datos!Y12)," - ")</f>
        <v xml:space="preserve"> - </v>
      </c>
      <c r="D12" s="403" t="str">
        <f>IF(ISNUMBER(C12/Datos!BH12),C12/Datos!BH12," - ")</f>
        <v xml:space="preserve"> - </v>
      </c>
      <c r="E12" s="402" t="str">
        <f>IF(ISNUMBER(IF(J_V="SI",Datos!J12,Datos!J12+Datos!Z12)),IF(J_V="SI",Datos!J12,Datos!J12+Datos!Z12)," - ")</f>
        <v xml:space="preserve"> - </v>
      </c>
      <c r="F12" s="403" t="str">
        <f>IF(ISNUMBER(E12/B12),E12/B12," - ")</f>
        <v xml:space="preserve"> - </v>
      </c>
      <c r="G12" s="402" t="str">
        <f>IF(ISNUMBER(IF(J_V="SI",Datos!K12,Datos!K12+Datos!AA12)),IF(J_V="SI",Datos!K12,Datos!K12+Datos!AA12)," - ")</f>
        <v xml:space="preserve"> - </v>
      </c>
      <c r="H12" s="403" t="str">
        <f>IF(ISNUMBER(G12/B12),G12/B12," - ")</f>
        <v xml:space="preserve"> - </v>
      </c>
      <c r="I12" s="402" t="str">
        <f>IF(ISNUMBER(IF(J_V="SI",Datos!L12,Datos!L12+Datos!AB12)),IF(J_V="SI",Datos!L12,Datos!L12+Datos!AB12)," - ")</f>
        <v xml:space="preserve"> - </v>
      </c>
      <c r="J12" s="403" t="str">
        <f>IF(ISNUMBER(I12/B12),I12/B12," - ")</f>
        <v xml:space="preserve"> - </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36</v>
      </c>
      <c r="C13" s="846">
        <f>SUBTOTAL(9,C8:C12)</f>
        <v>38826</v>
      </c>
      <c r="D13" s="847" t="str">
        <f>IF(ISNUMBER(C13/Datos!BI13),C13/Datos!BI13," - ")</f>
        <v xml:space="preserve"> - </v>
      </c>
      <c r="E13" s="846">
        <f>SUBTOTAL(9,E8:E12)</f>
        <v>14178</v>
      </c>
      <c r="F13" s="847">
        <f>IF(ISNUMBER(E13/B13),E13/B13," - ")</f>
        <v>393.83333333333331</v>
      </c>
      <c r="G13" s="846">
        <f>SUBTOTAL(9,G8:G12)</f>
        <v>15000</v>
      </c>
      <c r="H13" s="847">
        <f>IF(ISNUMBER(G13/B13),G13/B13," - ")</f>
        <v>416.66666666666669</v>
      </c>
      <c r="I13" s="846">
        <f>SUBTOTAL(9,I8:I12)</f>
        <v>38310</v>
      </c>
      <c r="J13" s="847">
        <f>IF(ISNUMBER(I13/B13),I13/B13," - ")</f>
        <v>1064.1666666666667</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21</v>
      </c>
      <c r="C15" s="402">
        <f>IF(ISNUMBER(IF(D_I="SI",Datos!I15,Datos!I15+Datos!AC15)),IF(D_I="SI",Datos!I15,Datos!I15+Datos!AC15)," - ")</f>
        <v>13562</v>
      </c>
      <c r="D15" s="403">
        <f>IF(ISNUMBER(C15/Datos!BH15),C15/Datos!BH15," - ")</f>
        <v>645.80952380952385</v>
      </c>
      <c r="E15" s="402">
        <f>IF(ISNUMBER(IF(D_I="SI",Datos!J15,Datos!J15+Datos!AD15)),IF(D_I="SI",Datos!J15,Datos!J15+Datos!AD15)," - ")</f>
        <v>14780</v>
      </c>
      <c r="F15" s="403">
        <f>IF(ISNUMBER(E15/B15),E15/B15," - ")</f>
        <v>703.80952380952385</v>
      </c>
      <c r="G15" s="402">
        <f>IF(ISNUMBER(IF(D_I="SI",Datos!K15,Datos!K15+Datos!AE15)),IF(D_I="SI",Datos!K15,Datos!K15+Datos!AE15)," - ")</f>
        <v>14614</v>
      </c>
      <c r="H15" s="403">
        <f>IF(ISNUMBER(G15/B15),G15/B15," - ")</f>
        <v>695.90476190476193</v>
      </c>
      <c r="I15" s="402">
        <f>IF(ISNUMBER(IF(D_I="SI",Datos!L15,Datos!L15+Datos!AF15)),IF(D_I="SI",Datos!L15,Datos!L15+Datos!AF15)," - ")</f>
        <v>14066</v>
      </c>
      <c r="J15" s="403">
        <f>IF(ISNUMBER(I15/B15),I15/B15," - ")</f>
        <v>669.80952380952385</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0</v>
      </c>
      <c r="C17" s="402" t="str">
        <f>IF(ISNUMBER(IF(D_I="SI",Datos!I17,Datos!I17+Datos!AC17)),IF(D_I="SI",Datos!I17,Datos!I17+Datos!AC17)," - ")</f>
        <v xml:space="preserve"> - </v>
      </c>
      <c r="D17" s="403" t="str">
        <f>IF(ISNUMBER(C17/Datos!BH17),C17/Datos!BH17," - ")</f>
        <v xml:space="preserve"> - </v>
      </c>
      <c r="E17" s="402" t="str">
        <f>IF(ISNUMBER(IF(D_I="SI",Datos!J17,Datos!J17+Datos!AD17)),IF(D_I="SI",Datos!J17,Datos!J17+Datos!AD17)," - ")</f>
        <v xml:space="preserve"> - </v>
      </c>
      <c r="F17" s="403" t="str">
        <f>IF(ISNUMBER(E17/B17),E17/B17," - ")</f>
        <v xml:space="preserve"> - </v>
      </c>
      <c r="G17" s="402" t="str">
        <f>IF(ISNUMBER(IF(D_I="SI",Datos!K17,Datos!K17+Datos!AE17)),IF(D_I="SI",Datos!K17,Datos!K17+Datos!AE17)," - ")</f>
        <v xml:space="preserve"> - </v>
      </c>
      <c r="H17" s="403" t="str">
        <f>IF(ISNUMBER(G17/B17),G17/B17," - ")</f>
        <v xml:space="preserve"> - </v>
      </c>
      <c r="I17" s="402" t="str">
        <f>IF(ISNUMBER(IF(D_I="SI",Datos!L17,Datos!L17+Datos!AF17)),IF(D_I="SI",Datos!L17,Datos!L17+Datos!AF17)," - ")</f>
        <v xml:space="preserve"> - </v>
      </c>
      <c r="J17" s="403" t="str">
        <f>IF(ISNUMBER(I17/B17),I17/B17," - ")</f>
        <v xml:space="preserve"> - </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6</v>
      </c>
      <c r="C18" s="402">
        <f>IF(ISNUMBER(IF(D_I="SI",Datos!I18,Datos!I18+Datos!AC18)),IF(D_I="SI",Datos!I18,Datos!I18+Datos!AC18)," - ")</f>
        <v>1364</v>
      </c>
      <c r="D18" s="403">
        <f>IF(ISNUMBER(C18/Datos!BH18),C18/Datos!BH18," - ")</f>
        <v>227.33333333333334</v>
      </c>
      <c r="E18" s="402">
        <f>IF(ISNUMBER(IF(D_I="SI",Datos!J18,Datos!J18+Datos!AD18)),IF(D_I="SI",Datos!J18,Datos!J18+Datos!AD18)," - ")</f>
        <v>2145</v>
      </c>
      <c r="F18" s="403">
        <f>IF(ISNUMBER(E18/B18),E18/B18," - ")</f>
        <v>357.5</v>
      </c>
      <c r="G18" s="402">
        <f>IF(ISNUMBER(IF(D_I="SI",Datos!K18,Datos!K18+Datos!AE18)),IF(D_I="SI",Datos!K18,Datos!K18+Datos!AE18)," - ")</f>
        <v>1711</v>
      </c>
      <c r="H18" s="403">
        <f>IF(ISNUMBER(G18/B18),G18/B18," - ")</f>
        <v>285.16666666666669</v>
      </c>
      <c r="I18" s="402">
        <f>IF(ISNUMBER(IF(D_I="SI",Datos!L18,Datos!L18+Datos!AF18)),IF(D_I="SI",Datos!L18,Datos!L18+Datos!AF18)," - ")</f>
        <v>1778</v>
      </c>
      <c r="J18" s="403">
        <f>IF(ISNUMBER(I18/B18),I18/B18," - ")</f>
        <v>296.33333333333331</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27</v>
      </c>
      <c r="C19" s="846">
        <f>SUBTOTAL(9,C14:C18)</f>
        <v>14926</v>
      </c>
      <c r="D19" s="847" t="str">
        <f>IF(ISNUMBER(C19/Datos!BI19),C19/Datos!BI19," - ")</f>
        <v xml:space="preserve"> - </v>
      </c>
      <c r="E19" s="846">
        <f>SUBTOTAL(9,E14:E18)</f>
        <v>16925</v>
      </c>
      <c r="F19" s="847">
        <f>IF(ISNUMBER(E19/B19),E19/B19," - ")</f>
        <v>626.85185185185185</v>
      </c>
      <c r="G19" s="846">
        <f>SUBTOTAL(9,G14:G18)</f>
        <v>16325</v>
      </c>
      <c r="H19" s="847">
        <f>IF(ISNUMBER(G19/B19),G19/B19," - ")</f>
        <v>604.62962962962968</v>
      </c>
      <c r="I19" s="846">
        <f>SUBTOTAL(9,I14:I18)</f>
        <v>15844</v>
      </c>
      <c r="J19" s="847">
        <f>IF(ISNUMBER(I19/B19),I19/B19," - ")</f>
        <v>586.81481481481478</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57</v>
      </c>
      <c r="C20" s="791">
        <f>SUBTOTAL(9,C9:C19)</f>
        <v>53752</v>
      </c>
      <c r="D20" s="792" t="str">
        <f>IF(ISNUMBER(C20/Datos!BI20),C20/Datos!BI20," - ")</f>
        <v xml:space="preserve"> - </v>
      </c>
      <c r="E20" s="791">
        <f>SUBTOTAL(9,E9:E19)</f>
        <v>31103</v>
      </c>
      <c r="F20" s="792">
        <f>IF(ISNUMBER(E20/B20),E20/B20," - ")</f>
        <v>545.66666666666663</v>
      </c>
      <c r="G20" s="791">
        <f>SUBTOTAL(9,G9:G19)</f>
        <v>31325</v>
      </c>
      <c r="H20" s="792">
        <f>IF(ISNUMBER(G20/B20),G20/B20," - ")</f>
        <v>549.56140350877195</v>
      </c>
      <c r="I20" s="791">
        <f>SUBTOTAL(9,I9:I19)</f>
        <v>54154</v>
      </c>
      <c r="J20" s="792">
        <f>IF(ISNUMBER(I20/B20),I20/B20," - ")</f>
        <v>950.07017543859649</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UR/dIEXSI1wvbHFBoLoh02en1J24F6LDA+GUNvctoHZayLeSuxRIcimvXW0Mep8ZQBzw5kpv+zAym9hwQAxgTQ==" saltValue="pp1leLKpeLUeV2lw0+Vcvw=="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COMUNIDAD VALENCIANA</v>
      </c>
      <c r="C2" s="374"/>
      <c r="E2" s="374"/>
      <c r="F2" s="374"/>
      <c r="G2" s="374"/>
      <c r="H2" s="374"/>
    </row>
    <row r="3" spans="1:15" ht="39">
      <c r="A3" s="414" t="s">
        <v>219</v>
      </c>
      <c r="B3" s="390" t="str">
        <f>Criterios!A10 &amp;"  "&amp;Criterios!B10</f>
        <v>Provincias  VALENCIA</v>
      </c>
      <c r="C3" s="414"/>
      <c r="F3" s="374"/>
      <c r="G3" s="374"/>
      <c r="H3" s="374"/>
    </row>
    <row r="4" spans="1:15" ht="13.5" thickBot="1">
      <c r="A4" s="374"/>
      <c r="B4" s="390" t="str">
        <f>Criterios!A11 &amp;"  "&amp;Criterios!B11</f>
        <v>Resumenes por Partidos Judiciales  VALENCIA</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24</v>
      </c>
      <c r="D9" s="402">
        <f>Datos!BK9</f>
        <v>0</v>
      </c>
      <c r="E9" s="402">
        <f>Datos!AQ9</f>
        <v>24</v>
      </c>
      <c r="F9" s="403">
        <f>IF(ISNUMBER(E9/Datos!BH9),E9/Datos!BH9," - ")</f>
        <v>0.92307692307692313</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6</v>
      </c>
      <c r="D10" s="402">
        <f>Datos!BK10</f>
        <v>0</v>
      </c>
      <c r="E10" s="402">
        <f>Datos!AQ10</f>
        <v>6</v>
      </c>
      <c r="F10" s="403">
        <f>IF(ISNUMBER(E10/Datos!BH10),E10/Datos!BH10," - ")</f>
        <v>1</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6</v>
      </c>
      <c r="D11" s="402">
        <f>Datos!BK11</f>
        <v>0</v>
      </c>
      <c r="E11" s="402">
        <f>Datos!AQ11</f>
        <v>6</v>
      </c>
      <c r="F11" s="403">
        <f>IF(ISNUMBER(E11/Datos!BH11),E11/Datos!BH11," - ")</f>
        <v>0.6</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0</v>
      </c>
      <c r="D12" s="402">
        <f>Datos!BK12</f>
        <v>0</v>
      </c>
      <c r="E12" s="402">
        <f>Datos!AQ12</f>
        <v>0</v>
      </c>
      <c r="F12" s="403" t="str">
        <f>IF(ISNUMBER(E12/Datos!BH12),E12/Datos!BH12," - ")</f>
        <v xml:space="preserve"> - </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21</v>
      </c>
      <c r="D15" s="402">
        <f>Datos!BK15</f>
        <v>0</v>
      </c>
      <c r="E15" s="402">
        <f>Datos!AQ15</f>
        <v>21</v>
      </c>
      <c r="F15" s="403">
        <f>IF(ISNUMBER(E15/Datos!BH15),E15/Datos!BH15," - ")</f>
        <v>1</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0</v>
      </c>
      <c r="D17" s="402">
        <f>Datos!BK17</f>
        <v>0</v>
      </c>
      <c r="E17" s="402">
        <f>Datos!AQ17</f>
        <v>0</v>
      </c>
      <c r="F17" s="403" t="str">
        <f>IF(ISNUMBER(E17/Datos!BH17),E17/Datos!BH17," - ")</f>
        <v xml:space="preserve"> - </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6</v>
      </c>
      <c r="D18" s="402">
        <f>Datos!BK18</f>
        <v>0</v>
      </c>
      <c r="E18" s="402">
        <f>Datos!AQ18</f>
        <v>6</v>
      </c>
      <c r="F18" s="403">
        <f>IF(ISNUMBER(E18/Datos!BH18),E18/Datos!BH18," - ")</f>
        <v>1</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Sa1QzsjKd86SJ5HeMcM9RhWFXbaOLbn/iXs7FR0TJLvc+VEkCJlrQ/8L2lNXlK93nMPXbKHj/bSl1dl9pbx5jQ==" saltValue="Vnsw0C+Z+TFk6dk1dInHzQ=="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COMUNIDAD VALENCIANA</v>
      </c>
      <c r="C2" s="390"/>
    </row>
    <row r="3" spans="1:78" ht="19.5">
      <c r="A3" s="424" t="s">
        <v>11</v>
      </c>
      <c r="B3" s="390" t="str">
        <f>Criterios!A10 &amp;"  "&amp;Criterios!B10</f>
        <v>Provincias  VALENCIA</v>
      </c>
      <c r="C3" s="390"/>
      <c r="D3" s="424"/>
      <c r="BZ3" s="470"/>
    </row>
    <row r="4" spans="1:78" ht="13.5" thickBot="1">
      <c r="B4" s="390" t="str">
        <f>Criterios!A11 &amp;"  "&amp;Criterios!B11</f>
        <v>Resumenes por Partidos Judiciales  VALENCIA</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24</v>
      </c>
      <c r="C9" s="409">
        <f>Datos!AQ9</f>
        <v>24</v>
      </c>
      <c r="D9" s="402">
        <f>IF(ISNUMBER(Datos!M9),Datos!M9," - ")</f>
        <v>3599</v>
      </c>
      <c r="E9" s="403">
        <f t="shared" ref="E9:E13" si="0">IF(ISNUMBER(D9/B9),D9/B9," - ")</f>
        <v>149.95833333333334</v>
      </c>
      <c r="F9" s="402">
        <f>IF(ISNUMBER(Datos!N9),Datos!N9," - ")</f>
        <v>5686</v>
      </c>
      <c r="G9" s="403">
        <f t="shared" ref="G9:G13" si="1">IF(ISNUMBER(F9/B9),F9/B9," - ")</f>
        <v>236.91666666666666</v>
      </c>
      <c r="H9" s="402">
        <f>IF(ISNUMBER(Datos!O9),Datos!O9," - ")</f>
        <v>4939</v>
      </c>
      <c r="I9" s="403">
        <f>IF(ISNUMBER(H9/B9),H9/B9," - ")</f>
        <v>205.79166666666666</v>
      </c>
      <c r="BZ9" s="1181">
        <f>Datos!EZ9</f>
        <v>0</v>
      </c>
    </row>
    <row r="10" spans="1:78">
      <c r="A10" s="401" t="str">
        <f>Datos!A10</f>
        <v>Sección De Violencia sobre la Mujer del TI</v>
      </c>
      <c r="B10" s="426">
        <f>Datos!AO10</f>
        <v>6</v>
      </c>
      <c r="C10" s="409">
        <f>Datos!AQ10</f>
        <v>6</v>
      </c>
      <c r="D10" s="402">
        <f>IF(ISNUMBER(Datos!M10),Datos!M10," - ")</f>
        <v>97</v>
      </c>
      <c r="E10" s="403">
        <f>IF(ISNUMBER(D10/B10),D10/B10," - ")</f>
        <v>16.166666666666668</v>
      </c>
      <c r="F10" s="402">
        <f>IF(ISNUMBER(Datos!N10),Datos!N10," - ")</f>
        <v>93</v>
      </c>
      <c r="G10" s="403">
        <f>IF(ISNUMBER(F10/B10),F10/B10," - ")</f>
        <v>15.5</v>
      </c>
      <c r="H10" s="402">
        <f>IF(ISNUMBER(Datos!O10),Datos!O10," - ")</f>
        <v>39</v>
      </c>
      <c r="I10" s="403">
        <f t="shared" ref="I10:I12" si="2">IF(ISNUMBER(H10/B10),H10/B10," - ")</f>
        <v>6.5</v>
      </c>
      <c r="BZ10" s="1181">
        <f>Datos!EZ10</f>
        <v>0</v>
      </c>
    </row>
    <row r="11" spans="1:78">
      <c r="A11" s="401" t="str">
        <f>Datos!A11</f>
        <v xml:space="preserve">Sección de Familia, infancia y capacidad del TI                           </v>
      </c>
      <c r="B11" s="426">
        <f>Datos!AO11</f>
        <v>6</v>
      </c>
      <c r="C11" s="409">
        <f>Datos!AQ11</f>
        <v>6</v>
      </c>
      <c r="D11" s="402">
        <f>IF(ISNUMBER(Datos!M11),Datos!M11," - ")</f>
        <v>462</v>
      </c>
      <c r="E11" s="403">
        <f t="shared" si="0"/>
        <v>77</v>
      </c>
      <c r="F11" s="402">
        <f>IF(ISNUMBER(Datos!N11),Datos!N11," - ")</f>
        <v>1249</v>
      </c>
      <c r="G11" s="403">
        <f t="shared" si="1"/>
        <v>208.16666666666666</v>
      </c>
      <c r="H11" s="402">
        <f>IF(ISNUMBER(Datos!O11),Datos!O11," - ")</f>
        <v>535</v>
      </c>
      <c r="I11" s="403">
        <f t="shared" si="2"/>
        <v>89.166666666666671</v>
      </c>
      <c r="BZ11" s="1181">
        <f>Datos!EZ11</f>
        <v>0</v>
      </c>
    </row>
    <row r="12" spans="1:78" ht="13.5" thickBot="1">
      <c r="A12" s="401" t="str">
        <f>Datos!A12</f>
        <v xml:space="preserve">Sección Civil y de Instrucción del T.I.       </v>
      </c>
      <c r="B12" s="426">
        <f>Datos!AO12</f>
        <v>0</v>
      </c>
      <c r="C12" s="409">
        <f>Datos!AQ12</f>
        <v>0</v>
      </c>
      <c r="D12" s="402" t="str">
        <f>IF(ISNUMBER(Datos!M12),Datos!M12," - ")</f>
        <v xml:space="preserve"> - </v>
      </c>
      <c r="E12" s="403" t="str">
        <f t="shared" si="0"/>
        <v xml:space="preserve"> - </v>
      </c>
      <c r="F12" s="402" t="str">
        <f>IF(ISNUMBER(Datos!N12),Datos!N12," - ")</f>
        <v xml:space="preserve"> - </v>
      </c>
      <c r="G12" s="403" t="str">
        <f t="shared" si="1"/>
        <v xml:space="preserve"> - </v>
      </c>
      <c r="H12" s="402" t="str">
        <f>IF(ISNUMBER(Datos!O12),Datos!O12," - ")</f>
        <v xml:space="preserve"> - </v>
      </c>
      <c r="I12" s="403" t="str">
        <f t="shared" si="2"/>
        <v xml:space="preserve"> - </v>
      </c>
      <c r="BZ12" s="1181">
        <f>Datos!EZ12</f>
        <v>0</v>
      </c>
    </row>
    <row r="13" spans="1:78" ht="14.25" thickTop="1" thickBot="1">
      <c r="A13" s="845" t="str">
        <f>Datos!A13</f>
        <v>TOTAL</v>
      </c>
      <c r="B13" s="846">
        <f>Datos!AP13</f>
        <v>36</v>
      </c>
      <c r="C13" s="848">
        <f>Datos!AR13</f>
        <v>36</v>
      </c>
      <c r="D13" s="846">
        <f>SUBTOTAL(9,D9:D12)</f>
        <v>4158</v>
      </c>
      <c r="E13" s="847">
        <f t="shared" si="0"/>
        <v>115.5</v>
      </c>
      <c r="F13" s="846">
        <f>SUBTOTAL(9,F9:F12)</f>
        <v>7028</v>
      </c>
      <c r="G13" s="847">
        <f t="shared" si="1"/>
        <v>195.22222222222223</v>
      </c>
      <c r="H13" s="846">
        <f>SUBTOTAL(9,H9:H12)</f>
        <v>5513</v>
      </c>
      <c r="I13" s="847">
        <f>IF(ISNUMBER(H13/B13),H13/B13," - ")</f>
        <v>153.13888888888889</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21</v>
      </c>
      <c r="C15" s="427">
        <f>Datos!AQ15</f>
        <v>21</v>
      </c>
      <c r="D15" s="402">
        <f>IF(ISNUMBER(Datos!M15),Datos!M15," - ")</f>
        <v>1978</v>
      </c>
      <c r="E15" s="403">
        <f t="shared" ref="E15:E19" si="3">IF(ISNUMBER(D15/B15),D15/B15," - ")</f>
        <v>94.19047619047619</v>
      </c>
      <c r="F15" s="402">
        <f>IF(ISNUMBER(Datos!N15),Datos!N15," - ")</f>
        <v>8535</v>
      </c>
      <c r="G15" s="403">
        <f t="shared" ref="G15:G19" si="4">IF(ISNUMBER(F15/B15),F15/B15," - ")</f>
        <v>406.42857142857144</v>
      </c>
      <c r="H15" s="402">
        <f>IF(ISNUMBER(Datos!O15),Datos!O15," - ")</f>
        <v>385</v>
      </c>
      <c r="I15" s="403">
        <f t="shared" ref="I15:I18" si="5">IF(ISNUMBER(H15/B15),H15/B15," - ")</f>
        <v>18.333333333333332</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0</v>
      </c>
      <c r="C17" s="427">
        <f>Datos!AQ17</f>
        <v>0</v>
      </c>
      <c r="D17" s="402" t="str">
        <f>IF(ISNUMBER(Datos!M17),Datos!M17," - ")</f>
        <v xml:space="preserve"> - </v>
      </c>
      <c r="E17" s="403" t="str">
        <f t="shared" si="3"/>
        <v xml:space="preserve"> - </v>
      </c>
      <c r="F17" s="402" t="str">
        <f>IF(ISNUMBER(Datos!N17),Datos!N17," - ")</f>
        <v xml:space="preserve"> - </v>
      </c>
      <c r="G17" s="403" t="str">
        <f t="shared" si="4"/>
        <v xml:space="preserve"> - </v>
      </c>
      <c r="H17" s="402" t="str">
        <f>IF(ISNUMBER(Datos!O17),Datos!O17," - ")</f>
        <v xml:space="preserve"> - </v>
      </c>
      <c r="I17" s="403" t="str">
        <f t="shared" si="5"/>
        <v xml:space="preserve"> - </v>
      </c>
      <c r="BZ17" s="1181">
        <f>Datos!EZ17</f>
        <v>0</v>
      </c>
    </row>
    <row r="18" spans="1:78" ht="13.5" thickBot="1">
      <c r="A18" s="401" t="str">
        <f>Datos!A18</f>
        <v>Sección De Violencia sobre la Mujer del TI</v>
      </c>
      <c r="B18" s="426">
        <f>Datos!AO18</f>
        <v>6</v>
      </c>
      <c r="C18" s="427">
        <f>Datos!AQ18</f>
        <v>6</v>
      </c>
      <c r="D18" s="402">
        <f>IF(ISNUMBER(Datos!M18),Datos!M18," - ")</f>
        <v>102</v>
      </c>
      <c r="E18" s="403">
        <f>IF(ISNUMBER(D18/B18),D18/B18," - ")</f>
        <v>17</v>
      </c>
      <c r="F18" s="402">
        <f>IF(ISNUMBER(Datos!N18),Datos!N18," - ")</f>
        <v>1059</v>
      </c>
      <c r="G18" s="403">
        <f>IF(ISNUMBER(F18/B18),F18/B18," - ")</f>
        <v>176.5</v>
      </c>
      <c r="H18" s="402">
        <f>IF(ISNUMBER(Datos!O18),Datos!O18," - ")</f>
        <v>14</v>
      </c>
      <c r="I18" s="403">
        <f t="shared" si="5"/>
        <v>2.3333333333333335</v>
      </c>
      <c r="BZ18" s="1181">
        <f>Datos!EZ18</f>
        <v>0</v>
      </c>
    </row>
    <row r="19" spans="1:78" ht="14.25" thickTop="1" thickBot="1">
      <c r="A19" s="845" t="str">
        <f>Datos!A19</f>
        <v>TOTAL</v>
      </c>
      <c r="B19" s="846">
        <f>Datos!AP19</f>
        <v>27</v>
      </c>
      <c r="C19" s="848">
        <f>Datos!AR19</f>
        <v>27</v>
      </c>
      <c r="D19" s="846">
        <f>SUBTOTAL(9,D15:D18)</f>
        <v>2080</v>
      </c>
      <c r="E19" s="847">
        <f t="shared" si="3"/>
        <v>77.037037037037038</v>
      </c>
      <c r="F19" s="846">
        <f>SUBTOTAL(9,F15:F18)</f>
        <v>9594</v>
      </c>
      <c r="G19" s="847">
        <f t="shared" si="4"/>
        <v>355.33333333333331</v>
      </c>
      <c r="H19" s="846">
        <f>SUBTOTAL(9,H15:H18)</f>
        <v>399</v>
      </c>
      <c r="I19" s="847">
        <f>IF(ISNUMBER(H19/B19),H19/B19," - ")</f>
        <v>14.777777777777779</v>
      </c>
      <c r="BZ19" s="1181"/>
    </row>
    <row r="20" spans="1:78" ht="14.25" thickTop="1" thickBot="1">
      <c r="A20" s="790" t="str">
        <f>Datos!A20</f>
        <v>TOTAL JURISDICCIONES</v>
      </c>
      <c r="B20" s="791">
        <f>Datos!AP20</f>
        <v>57</v>
      </c>
      <c r="C20" s="791">
        <f>Datos!AR20</f>
        <v>57</v>
      </c>
      <c r="D20" s="791">
        <f>SUBTOTAL(9,D8:D19)</f>
        <v>6238</v>
      </c>
      <c r="E20" s="792">
        <f>IF(ISNUMBER(D20/B20),D20/B20," - ")</f>
        <v>109.43859649122807</v>
      </c>
      <c r="F20" s="791">
        <f>SUBTOTAL(9,F8:F19)</f>
        <v>16622</v>
      </c>
      <c r="G20" s="792">
        <f>IF(ISNUMBER(F20/B20),F20/B20," - ")</f>
        <v>291.61403508771929</v>
      </c>
      <c r="H20" s="791">
        <f>SUBTOTAL(9,H8:H19)</f>
        <v>5912</v>
      </c>
      <c r="I20" s="792">
        <f>IF(ISNUMBER(H20/B20),H20/B20," - ")</f>
        <v>103.71929824561404</v>
      </c>
    </row>
    <row r="23" spans="1:78">
      <c r="A23" s="390" t="str">
        <f>Criterios!A4</f>
        <v>Fecha Informe: 06 oct. 2026</v>
      </c>
    </row>
    <row r="28" spans="1:78">
      <c r="A28" s="413"/>
    </row>
  </sheetData>
  <sheetProtection algorithmName="SHA-512" hashValue="P78fGZru1H7HHlQUWfeTbSo8q3Jga0svjTYYu1vBrEAu+pG3GM7bhotcwcTyQ6QM/9Li7hl6ZmIXr3xIJN/uVw==" saltValue="MTPhv/X8eh+toEpJNahEaw=="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COMUNIDAD VALENCIANA</v>
      </c>
    </row>
    <row r="3" spans="1:4" ht="19.5">
      <c r="A3" s="428" t="s">
        <v>32</v>
      </c>
      <c r="B3" s="390" t="str">
        <f>Criterios!A10 &amp;"  "&amp;Criterios!B10</f>
        <v>Provincias  VALENCIA</v>
      </c>
    </row>
    <row r="4" spans="1:4" ht="13.5" thickBot="1">
      <c r="B4" s="390" t="str">
        <f>Criterios!A11 &amp;"  "&amp;Criterios!B11</f>
        <v>Resumenes por Partidos Judiciales  VALENCIA</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f>IF(ISNUMBER(Datos!P9),Datos!P9," - ")</f>
        <v>2140</v>
      </c>
      <c r="C9" s="433">
        <f>IF(ISNUMBER(Datos!Q9),Datos!Q9," - ")</f>
        <v>2519</v>
      </c>
      <c r="D9" s="407">
        <f>IF(ISNUMBER(Datos!R9),Datos!R9," - ")</f>
        <v>32783</v>
      </c>
    </row>
    <row r="10" spans="1:4">
      <c r="A10" s="401" t="str">
        <f>Datos!A10</f>
        <v>Sección De Violencia sobre la Mujer del TI</v>
      </c>
      <c r="B10" s="432">
        <f>IF(ISNUMBER(Datos!P10),Datos!P10," - ")</f>
        <v>46</v>
      </c>
      <c r="C10" s="433">
        <f>IF(ISNUMBER(Datos!Q10),Datos!Q10," - ")</f>
        <v>24</v>
      </c>
      <c r="D10" s="407">
        <f>IF(ISNUMBER(Datos!R10),Datos!R10," - ")</f>
        <v>290</v>
      </c>
    </row>
    <row r="11" spans="1:4">
      <c r="A11" s="401" t="str">
        <f>Datos!A11</f>
        <v xml:space="preserve">Sección de Familia, infancia y capacidad del TI                           </v>
      </c>
      <c r="B11" s="432">
        <f>IF(ISNUMBER(Datos!P11),Datos!P11," - ")</f>
        <v>138</v>
      </c>
      <c r="C11" s="433">
        <f>IF(ISNUMBER(Datos!Q11),Datos!Q11," - ")</f>
        <v>238</v>
      </c>
      <c r="D11" s="407">
        <f>IF(ISNUMBER(Datos!R11),Datos!R11," - ")</f>
        <v>1552</v>
      </c>
    </row>
    <row r="12" spans="1:4" ht="13.5" thickBot="1">
      <c r="A12" s="401" t="str">
        <f>Datos!A12</f>
        <v xml:space="preserve">Sección Civil y de Instrucción del T.I.       </v>
      </c>
      <c r="B12" s="432" t="str">
        <f>IF(ISNUMBER(Datos!P12),Datos!P12," - ")</f>
        <v xml:space="preserve"> - </v>
      </c>
      <c r="C12" s="433" t="str">
        <f>IF(ISNUMBER(Datos!Q12),Datos!Q12," - ")</f>
        <v xml:space="preserve"> - </v>
      </c>
      <c r="D12" s="407" t="str">
        <f>IF(ISNUMBER(Datos!R12),Datos!R12," - ")</f>
        <v xml:space="preserve"> - </v>
      </c>
    </row>
    <row r="13" spans="1:4" ht="14.25" thickTop="1" thickBot="1">
      <c r="A13" s="845" t="str">
        <f>Datos!A13</f>
        <v>TOTAL</v>
      </c>
      <c r="B13" s="846">
        <f>SUBTOTAL(9,B9:B12)</f>
        <v>2324</v>
      </c>
      <c r="C13" s="850">
        <f>SUBTOTAL(9,C9:C12)</f>
        <v>2781</v>
      </c>
      <c r="D13" s="848">
        <f>SUBTOTAL(9,D9:D12)</f>
        <v>34625</v>
      </c>
    </row>
    <row r="14" spans="1:4" ht="13.5" thickTop="1">
      <c r="A14" s="395" t="str">
        <f>Datos!A14</f>
        <v xml:space="preserve">Jurisdicción Penal ( 2 ):                      </v>
      </c>
      <c r="B14" s="405"/>
      <c r="C14" s="434"/>
      <c r="D14" s="407"/>
    </row>
    <row r="15" spans="1:4">
      <c r="A15" s="401" t="str">
        <f>Datos!A15</f>
        <v xml:space="preserve">Seccion Instruccion Del T.I.                   </v>
      </c>
      <c r="B15" s="432">
        <f>IF(ISNUMBER(Datos!P15),Datos!P15," - ")</f>
        <v>900</v>
      </c>
      <c r="C15" s="433">
        <f>IF(ISNUMBER(Datos!Q15),Datos!Q15," - ")</f>
        <v>1039</v>
      </c>
      <c r="D15" s="407">
        <f>IF(ISNUMBER(Datos!R15),Datos!R15," - ")</f>
        <v>1846</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t="str">
        <f>IF(ISNUMBER(Datos!P17),Datos!P17," - ")</f>
        <v xml:space="preserve"> - </v>
      </c>
      <c r="C17" s="433" t="str">
        <f>IF(ISNUMBER(Datos!Q17),Datos!Q17," - ")</f>
        <v xml:space="preserve"> - </v>
      </c>
      <c r="D17" s="407" t="str">
        <f>IF(ISNUMBER(Datos!R17),Datos!R17," - ")</f>
        <v xml:space="preserve"> - </v>
      </c>
    </row>
    <row r="18" spans="1:4" ht="13.5" thickBot="1">
      <c r="A18" s="401" t="str">
        <f>Datos!A18</f>
        <v>Sección De Violencia sobre la Mujer del TI</v>
      </c>
      <c r="B18" s="432">
        <f>IF(ISNUMBER(Datos!P18),Datos!P18," - ")</f>
        <v>20</v>
      </c>
      <c r="C18" s="433">
        <f>IF(ISNUMBER(Datos!Q18),Datos!Q18," - ")</f>
        <v>27</v>
      </c>
      <c r="D18" s="407">
        <f>IF(ISNUMBER(Datos!R18),Datos!R18," - ")</f>
        <v>30</v>
      </c>
    </row>
    <row r="19" spans="1:4" ht="14.25" thickTop="1" thickBot="1">
      <c r="A19" s="845" t="str">
        <f>Datos!A19</f>
        <v>TOTAL</v>
      </c>
      <c r="B19" s="846">
        <f>SUBTOTAL(9,B15:B18)</f>
        <v>920</v>
      </c>
      <c r="C19" s="850">
        <f>SUBTOTAL(9,C15:C18)</f>
        <v>1066</v>
      </c>
      <c r="D19" s="848">
        <f>SUBTOTAL(9,D15:D18)</f>
        <v>1876</v>
      </c>
    </row>
    <row r="20" spans="1:4" ht="16.5" customHeight="1" thickTop="1" thickBot="1">
      <c r="A20" s="790" t="str">
        <f>Datos!A20</f>
        <v>TOTAL JURISDICCIONES</v>
      </c>
      <c r="B20" s="795">
        <f>SUBTOTAL(9,B8:B19)</f>
        <v>3244</v>
      </c>
      <c r="C20" s="796">
        <f>SUBTOTAL(9,C8:C19)</f>
        <v>3847</v>
      </c>
      <c r="D20" s="797">
        <f>SUBTOTAL(9,D8:D19)</f>
        <v>36501</v>
      </c>
    </row>
    <row r="21" spans="1:4" ht="7.5" customHeight="1"/>
    <row r="22" spans="1:4" ht="6" customHeight="1"/>
    <row r="23" spans="1:4">
      <c r="A23" s="390" t="str">
        <f>Criterios!A4</f>
        <v>Fecha Informe: 06 oct. 2026</v>
      </c>
    </row>
    <row r="28" spans="1:4">
      <c r="A28" s="413"/>
    </row>
  </sheetData>
  <sheetProtection algorithmName="SHA-512" hashValue="9REjGMpxV95psJI/u7ylHRGmi2/BZ05cOqTmUmgU0eq0249CHRSks2SQ0UpGSijmwf2KaG/qZaJly3Qght4v7w==" saltValue="Ye0Ma8naUmsNXeoj1U5bcA=="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COMUNIDAD VALENCIANA</v>
      </c>
    </row>
    <row r="3" spans="1:11" ht="18.75" customHeight="1">
      <c r="A3" s="428" t="s">
        <v>118</v>
      </c>
      <c r="B3" s="390" t="str">
        <f>Criterios!A10 &amp;"  "&amp;Criterios!B10</f>
        <v>Provincias  VALENCIA</v>
      </c>
    </row>
    <row r="4" spans="1:11" ht="10.5" customHeight="1" thickBot="1">
      <c r="B4" s="390" t="str">
        <f>Criterios!A11 &amp;"  "&amp;Criterios!B11</f>
        <v>Resumenes por Partidos Judiciales  VALENCIA</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f>IF(ISNUMBER(
   IF(J_V="SI",(Datos!I9-Datos!S9)/Datos!S9,(Datos!I9+Datos!Y9-(Datos!S9+Datos!AG9))/(Datos!S9+Datos!AG9))
     ),IF(J_V="SI",(Datos!I9-Datos!S9)/Datos!S9,(Datos!I9+Datos!Y9-(Datos!S9+Datos!AG9))/(Datos!S9+Datos!AG9))," - ")</f>
        <v>-0.12187455350764395</v>
      </c>
      <c r="C9" s="455">
        <f>IF(ISNUMBER(
   IF(J_V="SI",(Datos!J9-Datos!T9)/Datos!T9,(Datos!J9+Datos!Z9-(Datos!T9+Datos!AH9))/(Datos!T9+Datos!AH9))
     ),IF(J_V="SI",(Datos!J9-Datos!T9)/Datos!T9,(Datos!J9+Datos!Z9-(Datos!T9+Datos!AH9))/(Datos!T9+Datos!AH9))," - ")</f>
        <v>-0.27381174277726</v>
      </c>
      <c r="D9" s="455">
        <f>IF(ISNUMBER(
   IF(J_V="SI",(Datos!K9-Datos!U9)/Datos!U9,(Datos!K9+Datos!AA9-(Datos!U9+Datos!AI9))/(Datos!U9+Datos!AI9))
     ),IF(J_V="SI",(Datos!K9-Datos!U9)/Datos!U9,(Datos!K9+Datos!AA9-(Datos!U9+Datos!AI9))/(Datos!U9+Datos!AI9))," - ")</f>
        <v>-0.25114863655349362</v>
      </c>
      <c r="E9" s="455">
        <f>IF(ISNUMBER(
   IF(J_V="SI",(Datos!L9-Datos!V9)/Datos!V9,(Datos!L9+Datos!AB9-(Datos!V9+Datos!AJ9))/(Datos!V9+Datos!AJ9))
     ),IF(J_V="SI",(Datos!L9-Datos!V9)/Datos!V9,(Datos!L9+Datos!AB9-(Datos!V9+Datos!AJ9))/(Datos!V9+Datos!AJ9))," - ")</f>
        <v>-0.12997954025755204</v>
      </c>
      <c r="F9" s="455">
        <f>IF(ISNUMBER((Datos!M9-Datos!W9)/Datos!W9),(Datos!M9-Datos!W9)/Datos!W9," - ")</f>
        <v>-9.5046517475484038E-2</v>
      </c>
      <c r="G9" s="456">
        <f>IF(ISNUMBER((Datos!N9-Datos!X9)/Datos!X9),(Datos!N9-Datos!X9)/Datos!X9," - ")</f>
        <v>-0.37769508591441392</v>
      </c>
      <c r="H9" s="454">
        <f>IF(ISNUMBER(((NºAsuntos!G9/NºAsuntos!E9)-Datos!BD9)/Datos!BD9),((NºAsuntos!G9/NºAsuntos!E9)-Datos!BD9)/Datos!BD9," - ")</f>
        <v>3.1208307210089017E-2</v>
      </c>
      <c r="I9" s="455">
        <f>IF(ISNUMBER(((NºAsuntos!I9/NºAsuntos!G9)-Datos!BE9)/Datos!BE9),((NºAsuntos!I9/NºAsuntos!G9)-Datos!BE9)/Datos!BE9," - ")</f>
        <v>0.16180660436842106</v>
      </c>
      <c r="J9" s="460">
        <f>IF(ISNUMBER((('Resol  Asuntos'!D9/NºAsuntos!G9)-Datos!BF9)/Datos!BF9),(('Resol  Asuntos'!D9/NºAsuntos!G9)-Datos!BF9)/Datos!BF9," - ")</f>
        <v>-0.47400381182940343</v>
      </c>
      <c r="K9" s="461">
        <f>IF(ISNUMBER((((NºAsuntos!C9+NºAsuntos!E9)/NºAsuntos!G9)-Datos!BG9)/Datos!BG9),(((NºAsuntos!C9+NºAsuntos!E9)/NºAsuntos!G9)-Datos!BG9)/Datos!BG9," - ")</f>
        <v>0.11641310397515452</v>
      </c>
    </row>
    <row r="10" spans="1:11" ht="21">
      <c r="A10" s="401" t="str">
        <f>Datos!A10</f>
        <v>Sección De Violencia sobre la Mujer del TI</v>
      </c>
      <c r="B10" s="454">
        <f>IF(ISNUMBER((Datos!I10-Datos!S10)/Datos!S10),(Datos!I10-Datos!S10)/Datos!S10," - ")</f>
        <v>8.9020771513353122E-2</v>
      </c>
      <c r="C10" s="455">
        <f>IF(ISNUMBER((Datos!J10-Datos!T10)/Datos!T10),(Datos!J10-Datos!T10)/Datos!T10," - ")</f>
        <v>-0.11152416356877323</v>
      </c>
      <c r="D10" s="455">
        <f>IF(ISNUMBER((Datos!K10-Datos!U10)/Datos!U10),(Datos!K10-Datos!U10)/Datos!U10," - ")</f>
        <v>8.771929824561403E-3</v>
      </c>
      <c r="E10" s="455">
        <f>IF(ISNUMBER((Datos!L10-Datos!V10)/Datos!V10),(Datos!L10-Datos!V10)/Datos!V10," - ")</f>
        <v>-5.2910052910052907E-3</v>
      </c>
      <c r="F10" s="455">
        <f>IF(ISNUMBER((Datos!M10-Datos!W10)/Datos!W10),(Datos!M10-Datos!W10)/Datos!W10," - ")</f>
        <v>-2.0202020202020204E-2</v>
      </c>
      <c r="G10" s="456">
        <f>IF(ISNUMBER((Datos!N10-Datos!X10)/Datos!X10),(Datos!N10-Datos!X10)/Datos!X10," - ")</f>
        <v>-0.11428571428571428</v>
      </c>
      <c r="H10" s="454">
        <f>IF(ISNUMBER(((NºAsuntos!G10/NºAsuntos!E10)-Datos!BD10)/Datos!BD10),((NºAsuntos!G10/NºAsuntos!E10)-Datos!BD10)/Datos!BD10," - ")</f>
        <v>0.13539602143433899</v>
      </c>
      <c r="I10" s="455">
        <f>IF(ISNUMBER(((NºAsuntos!I10/NºAsuntos!G10)-Datos!BE10)/Datos!BE10),((NºAsuntos!I10/NºAsuntos!G10)-Datos!BE10)/Datos!BE10," - ")</f>
        <v>-1.3940648723257381E-2</v>
      </c>
      <c r="J10" s="460">
        <f>IF(ISNUMBER((('Resol  Asuntos'!D10/NºAsuntos!G10)-Datos!BF10)/Datos!BF10),(('Resol  Asuntos'!D10/NºAsuntos!G10)-Datos!BF10)/Datos!BF10," - ")</f>
        <v>-2.8722002635046134E-2</v>
      </c>
      <c r="K10" s="461">
        <f>IF(ISNUMBER((((NºAsuntos!C10+NºAsuntos!E10)/NºAsuntos!G10)-Datos!BG10)/Datos!BG10),(((NºAsuntos!C10+NºAsuntos!E10)/NºAsuntos!G10)-Datos!BG10)/Datos!BG10," - ")</f>
        <v>-8.6956521739131026E-3</v>
      </c>
    </row>
    <row r="11" spans="1:11" ht="21">
      <c r="A11" s="401" t="str">
        <f>Datos!A11</f>
        <v xml:space="preserve">Sección de Familia, infancia y capacidad del TI                           </v>
      </c>
      <c r="B11" s="454">
        <f>IF(ISNUMBER(
   IF(J_V="SI",(Datos!I11-Datos!S11)/Datos!S11,(Datos!I11+Datos!Y11-(Datos!S11+Datos!AG11))/(Datos!S11+Datos!AG11))
     ),IF(J_V="SI",(Datos!I11-Datos!S11)/Datos!S11,(Datos!I11+Datos!Y11-(Datos!S11+Datos!AG11))/(Datos!S11+Datos!AG11))," - ")</f>
        <v>-0.23229873908826382</v>
      </c>
      <c r="C11" s="455">
        <f>IF(ISNUMBER(
   IF(J_V="SI",(Datos!J11-Datos!T11)/Datos!T11,(Datos!J11+Datos!Z11-(Datos!T11+Datos!AH11))/(Datos!T11+Datos!AH11))
     ),IF(J_V="SI",(Datos!J11-Datos!T11)/Datos!T11,(Datos!J11+Datos!Z11-(Datos!T11+Datos!AH11))/(Datos!T11+Datos!AH11))," - ")</f>
        <v>-4.4161358811040337E-2</v>
      </c>
      <c r="D11" s="455">
        <f>IF(ISNUMBER(
   IF(J_V="SI",(Datos!K11-Datos!U11)/Datos!U11,(Datos!K11+Datos!AA11-(Datos!U11+Datos!AI11))/(Datos!U11+Datos!AI11))
     ),IF(J_V="SI",(Datos!K11-Datos!U11)/Datos!U11,(Datos!K11+Datos!AA11-(Datos!U11+Datos!AI11))/(Datos!U11+Datos!AI11))," - ")</f>
        <v>-5.9322033898305086E-2</v>
      </c>
      <c r="E11" s="455">
        <f>IF(ISNUMBER(
   IF(J_V="SI",(Datos!L11-Datos!V11)/Datos!V11,(Datos!L11+Datos!AB11-(Datos!V11+Datos!AJ11))/(Datos!V11+Datos!AJ11))
     ),IF(J_V="SI",(Datos!L11-Datos!V11)/Datos!V11,(Datos!L11+Datos!AB11-(Datos!V11+Datos!AJ11))/(Datos!V11+Datos!AJ11))," - ")</f>
        <v>-0.12389813907933399</v>
      </c>
      <c r="F11" s="455">
        <f>IF(ISNUMBER((Datos!M11-Datos!W11)/Datos!W11),(Datos!M11-Datos!W11)/Datos!W11," - ")</f>
        <v>-0.2643312101910828</v>
      </c>
      <c r="G11" s="456">
        <f>IF(ISNUMBER((Datos!N11-Datos!X11)/Datos!X11),(Datos!N11-Datos!X11)/Datos!X11," - ")</f>
        <v>-6.0902255639097742E-2</v>
      </c>
      <c r="H11" s="454">
        <f>IF(ISNUMBER(((NºAsuntos!G11/NºAsuntos!E11)-Datos!BD11)/Datos!BD11),((NºAsuntos!G11/NºAsuntos!E11)-Datos!BD11)/Datos!BD11," - ")</f>
        <v>-1.58611238696173E-2</v>
      </c>
      <c r="I11" s="455">
        <f>IF(ISNUMBER(((NºAsuntos!I11/NºAsuntos!G11)-Datos!BE11)/Datos!BE11),((NºAsuntos!I11/NºAsuntos!G11)-Datos!BE11)/Datos!BE11," - ")</f>
        <v>-6.86484721744271E-2</v>
      </c>
      <c r="J11" s="460">
        <f>IF(ISNUMBER((('Resol  Asuntos'!D11/NºAsuntos!G11)-Datos!BF11)/Datos!BF11),(('Resol  Asuntos'!D11/NºAsuntos!G11)-Datos!BF11)/Datos!BF11," - ")</f>
        <v>-0.63072546230440973</v>
      </c>
      <c r="K11" s="461">
        <f>IF(ISNUMBER((((NºAsuntos!C11+NºAsuntos!E11)/NºAsuntos!G11)-Datos!BG11)/Datos!BG11),(((NºAsuntos!C11+NºAsuntos!E11)/NºAsuntos!G11)-Datos!BG11)/Datos!BG11," - ")</f>
        <v>-7.7250671545441824E-2</v>
      </c>
    </row>
    <row r="12" spans="1:11" ht="21.75" thickBot="1">
      <c r="A12" s="401" t="str">
        <f>Datos!A12</f>
        <v xml:space="preserve">Sección Civil y de Instrucción del T.I.       </v>
      </c>
      <c r="B12" s="454" t="str">
        <f>IF(ISNUMBER(
   IF(J_V="SI",(Datos!I12-Datos!S12)/Datos!S12,(Datos!I12+Datos!Y12-(Datos!S12+Datos!AG12))/(Datos!S12+Datos!AG12))
     ),IF(J_V="SI",(Datos!I12-Datos!S12)/Datos!S12,(Datos!I12+Datos!Y12-(Datos!S12+Datos!AG12))/(Datos!S12+Datos!AG12))," - ")</f>
        <v xml:space="preserve"> - </v>
      </c>
      <c r="C12" s="455" t="str">
        <f>IF(ISNUMBER(
   IF(J_V="SI",(Datos!J12-Datos!T12)/Datos!T12,(Datos!J12+Datos!Z12-(Datos!T12+Datos!AH12))/(Datos!T12+Datos!AH12))
     ),IF(J_V="SI",(Datos!J12-Datos!T12)/Datos!T12,(Datos!J12+Datos!Z12-(Datos!T12+Datos!AH12))/(Datos!T12+Datos!AH12))," - ")</f>
        <v xml:space="preserve"> - </v>
      </c>
      <c r="D12" s="455" t="str">
        <f>IF(ISNUMBER(
   IF(J_V="SI",(Datos!K12-Datos!U12)/Datos!U12,(Datos!K12+Datos!AA12-(Datos!U12+Datos!AI12))/(Datos!U12+Datos!AI12))
     ),IF(J_V="SI",(Datos!K12-Datos!U12)/Datos!U12,(Datos!K12+Datos!AA12-(Datos!U12+Datos!AI12))/(Datos!U12+Datos!AI12))," - ")</f>
        <v xml:space="preserve"> - </v>
      </c>
      <c r="E12" s="455" t="str">
        <f>IF(ISNUMBER(
   IF(J_V="SI",(Datos!L12-Datos!V12)/Datos!V12,(Datos!L12+Datos!AB12-(Datos!V12+Datos!AJ12))/(Datos!V12+Datos!AJ12))
     ),IF(J_V="SI",(Datos!L12-Datos!V12)/Datos!V12,(Datos!L12+Datos!AB12-(Datos!V12+Datos!AJ12))/(Datos!V12+Datos!AJ12))," - ")</f>
        <v xml:space="preserve"> - </v>
      </c>
      <c r="F12" s="455" t="str">
        <f>IF(ISNUMBER((Datos!M12-Datos!W12)/Datos!W12),(Datos!M12-Datos!W12)/Datos!W12," - ")</f>
        <v xml:space="preserve"> - </v>
      </c>
      <c r="G12" s="456" t="str">
        <f>IF(ISNUMBER((Datos!N12-Datos!X12)/Datos!X12),(Datos!N12-Datos!X12)/Datos!X12," - ")</f>
        <v xml:space="preserve"> - </v>
      </c>
      <c r="H12" s="454" t="str">
        <f>IF(ISNUMBER(((NºAsuntos!G12/NºAsuntos!E12)-Datos!BD12)/Datos!BD12),((NºAsuntos!G12/NºAsuntos!E12)-Datos!BD12)/Datos!BD12," - ")</f>
        <v xml:space="preserve"> - </v>
      </c>
      <c r="I12" s="455" t="str">
        <f>IF(ISNUMBER(((NºAsuntos!I12/NºAsuntos!G12)-Datos!BE12)/Datos!BE12),((NºAsuntos!I12/NºAsuntos!G12)-Datos!BE12)/Datos!BE12," - ")</f>
        <v xml:space="preserve"> - </v>
      </c>
      <c r="J12" s="460" t="str">
        <f>IF(ISNUMBER((('Resol  Asuntos'!D12/NºAsuntos!G12)-Datos!BF12)/Datos!BF12),(('Resol  Asuntos'!D12/NºAsuntos!G12)-Datos!BF12)/Datos!BF12," - ")</f>
        <v xml:space="preserve"> - </v>
      </c>
      <c r="K12" s="461" t="str">
        <f>IF(ISNUMBER((((NºAsuntos!C12+NºAsuntos!E12)/NºAsuntos!G12)-Datos!BG12)/Datos!BG12),(((NºAsuntos!C12+NºAsuntos!E12)/NºAsuntos!G12)-Datos!BG12)/Datos!BG12," - ")</f>
        <v xml:space="preserve"> - </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-0.12540265357150901</v>
      </c>
      <c r="C13" s="852">
        <f>IF(ISNUMBER(
   IF(J_V="SI",(Datos!J13-Datos!T13)/Datos!T13,(Datos!J13+Datos!Z13-(Datos!T13+Datos!AH13))/(Datos!T13+Datos!AH13))
     ),IF(J_V="SI",(Datos!J13-Datos!T13)/Datos!T13,(Datos!J13+Datos!Z13-(Datos!T13+Datos!AH13))/(Datos!T13+Datos!AH13))," - ")</f>
        <v>-0.24258774507185213</v>
      </c>
      <c r="D13" s="852">
        <f>IF(ISNUMBER(
   IF(J_V="SI",(Datos!K13-Datos!U13)/Datos!U13,(Datos!K13+Datos!AA13-(Datos!U13+Datos!AI13))/(Datos!U13+Datos!AI13))
     ),IF(J_V="SI",(Datos!K13-Datos!U13)/Datos!U13,(Datos!K13+Datos!AA13-(Datos!U13+Datos!AI13))/(Datos!U13+Datos!AI13))," - ")</f>
        <v>-0.2246859978291208</v>
      </c>
      <c r="E13" s="852">
        <f>IF(ISNUMBER(
   IF(J_V="SI",(Datos!L13-Datos!V13)/Datos!V13,(Datos!L13+Datos!AB13-(Datos!V13+Datos!AJ13))/(Datos!V13+Datos!AJ13))
     ),IF(J_V="SI",(Datos!L13-Datos!V13)/Datos!V13,(Datos!L13+Datos!AB13-(Datos!V13+Datos!AJ13))/(Datos!V13+Datos!AJ13))," - ")</f>
        <v>-0.12862504264756056</v>
      </c>
      <c r="F13" s="853">
        <f>IF(ISNUMBER((Datos!M13-Datos!W13)/Datos!W13),(Datos!M13-Datos!W13)/Datos!W13," - ")</f>
        <v>-0.11607142857142858</v>
      </c>
      <c r="G13" s="854">
        <f>IF(ISNUMBER((Datos!N13-Datos!X13)/Datos!X13),(Datos!N13-Datos!X13)/Datos!X13," - ")</f>
        <v>-0.33522512296632617</v>
      </c>
      <c r="H13" s="854">
        <f>IF(ISNUMBER(((NºAsuntos!G13/NºAsuntos!E13)-Datos!BD13)/Datos!BD13),((NºAsuntos!G13/NºAsuntos!E13)-Datos!BD13)/Datos!BD13," - ")</f>
        <v>2.363540743664037E-2</v>
      </c>
      <c r="I13" s="854">
        <f>IF(ISNUMBER(((NºAsuntos!I13/NºAsuntos!G13)-Datos!BE13)/Datos!BE13),((NºAsuntos!I13/NºAsuntos!G13)-Datos!BE13)/Datos!BE13," - ")</f>
        <v>0.12389941999317626</v>
      </c>
      <c r="J13" s="854">
        <f>IF(ISNUMBER((('Resol  Asuntos'!D13/NºAsuntos!G13)-Datos!BF13)/Datos!BF13),(('Resol  Asuntos'!D13/NºAsuntos!G13)-Datos!BF13)/Datos!BF13," - ")</f>
        <v>-0.49242964224872232</v>
      </c>
      <c r="K13" s="854">
        <f>IF(ISNUMBER((((NºAsuntos!C13+NºAsuntos!E13)/NºAsuntos!G13)-Datos!BG13)/Datos!BG13),(((NºAsuntos!C13+NºAsuntos!E13)/NºAsuntos!G13)-Datos!BG13)/Datos!BG13," - ")</f>
        <v>8.3225998225377018E-2</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f>IF(ISNUMBER(
   IF(D_I="SI",(Datos!I15-Datos!S15)/Datos!S15,(Datos!I15+Datos!AC15-(Datos!S15+Datos!AK15))/(Datos!S15+Datos!AK15))
     ),IF(D_I="SI",(Datos!I15-Datos!S15)/Datos!S15,(Datos!I15+Datos!AC15-(Datos!S15+Datos!AK15))/(Datos!S15+Datos!AK15))," - ")</f>
        <v>0.19027558364051256</v>
      </c>
      <c r="C15" s="455">
        <f>IF(ISNUMBER(
   IF(D_I="SI",(Datos!J15-Datos!T15)/Datos!T15,(Datos!J15+Datos!AD15-(Datos!T15+Datos!AL15))/(Datos!T15+Datos!AL15))
     ),IF(D_I="SI",(Datos!J15-Datos!T15)/Datos!T15,(Datos!J15+Datos!AD15-(Datos!T15+Datos!AL15))/(Datos!T15+Datos!AL15))," - ")</f>
        <v>-9.9142550911039649E-3</v>
      </c>
      <c r="D15" s="455">
        <f>IF(ISNUMBER(
   IF(D_I="SI",(Datos!K15-Datos!U15)/Datos!U15,(Datos!K15+Datos!AE15-(Datos!U15+Datos!AM15))/(Datos!U15+Datos!AM15))
     ),IF(D_I="SI",(Datos!K15-Datos!U15)/Datos!U15,(Datos!K15+Datos!AE15-(Datos!U15+Datos!AM15))/(Datos!U15+Datos!AM15))," - ")</f>
        <v>-6.3235194125246478E-3</v>
      </c>
      <c r="E15" s="455">
        <f>IF(ISNUMBER(
   IF(D_I="SI",(Datos!L15-Datos!V15)/Datos!V15,(Datos!L15+Datos!AF15-(Datos!V15+Datos!AN15))/(Datos!V15+Datos!AN15))
     ),IF(D_I="SI",(Datos!L15-Datos!V15)/Datos!V15,(Datos!L15+Datos!AF15-(Datos!V15+Datos!AN15))/(Datos!V15+Datos!AN15))," - ")</f>
        <v>0.19011760724257551</v>
      </c>
      <c r="F15" s="455">
        <f>IF(ISNUMBER((Datos!M15-Datos!W15)/Datos!W15),(Datos!M15-Datos!W15)/Datos!W15," - ")</f>
        <v>-8.2560296846011128E-2</v>
      </c>
      <c r="G15" s="456">
        <f>IF(ISNUMBER((Datos!N15-Datos!X15)/Datos!X15),(Datos!N15-Datos!X15)/Datos!X15," - ")</f>
        <v>2.1788578953669341E-2</v>
      </c>
      <c r="H15" s="454">
        <f>IF(ISNUMBER(((NºAsuntos!G15/NºAsuntos!E15)-Datos!BD15)/Datos!BD15),((NºAsuntos!G15/NºAsuntos!E15)-Datos!BD15)/Datos!BD15," - ")</f>
        <v>3.626691624481199E-3</v>
      </c>
      <c r="I15" s="455">
        <f>IF(ISNUMBER(((NºAsuntos!I15/NºAsuntos!G15)-Datos!BE15)/Datos!BE15),((NºAsuntos!I15/NºAsuntos!G15)-Datos!BE15)/Datos!BE15," - ")</f>
        <v>0.1976912309919637</v>
      </c>
      <c r="J15" s="460">
        <f>IF(ISNUMBER((('Resol  Asuntos'!D15/NºAsuntos!G15)-Datos!BF15)/Datos!BF15),(('Resol  Asuntos'!D15/NºAsuntos!G15)-Datos!BF15)/Datos!BF15," - ")</f>
        <v>-7.6721930047508269E-2</v>
      </c>
      <c r="K15" s="461">
        <f>IF(ISNUMBER((((NºAsuntos!C15+NºAsuntos!E15)/NºAsuntos!G15)-Datos!BG15)/Datos!BG15),(((NºAsuntos!C15+NºAsuntos!E15)/NºAsuntos!G15)-Datos!BG15)/Datos!BG15," - ")</f>
        <v>8.3594016714204161E-2</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t="str">
        <f>IF(ISNUMBER(
   IF(D_I="SI",(Datos!I17-Datos!S17)/Datos!S17,(Datos!I17+Datos!AC17-(Datos!S17+Datos!AK17))/(Datos!S17+Datos!AK17))
     ),IF(D_I="SI",(Datos!I17-Datos!S17)/Datos!S17,(Datos!I17+Datos!AC17-(Datos!S17+Datos!AK17))/(Datos!S17+Datos!AK17))," - ")</f>
        <v xml:space="preserve"> - </v>
      </c>
      <c r="C17" s="455" t="str">
        <f>IF(ISNUMBER(
   IF(D_I="SI",(Datos!J17-Datos!T17)/Datos!T17,(Datos!J17+Datos!AD17-(Datos!T17+Datos!AL17))/(Datos!T17+Datos!AL17))
     ),IF(D_I="SI",(Datos!J17-Datos!T17)/Datos!T17,(Datos!J17+Datos!AD17-(Datos!T17+Datos!AL17))/(Datos!T17+Datos!AL17))," - ")</f>
        <v xml:space="preserve"> - </v>
      </c>
      <c r="D17" s="455" t="str">
        <f>IF(ISNUMBER(
   IF(D_I="SI",(Datos!K17-Datos!U17)/Datos!U17,(Datos!K17+Datos!AE17-(Datos!U17+Datos!AM17))/(Datos!U17+Datos!AM17))
     ),IF(D_I="SI",(Datos!K17-Datos!U17)/Datos!U17,(Datos!K17+Datos!AE17-(Datos!U17+Datos!AM17))/(Datos!U17+Datos!AM17))," - ")</f>
        <v xml:space="preserve"> - </v>
      </c>
      <c r="E17" s="455" t="str">
        <f>IF(ISNUMBER(
   IF(D_I="SI",(Datos!L17-Datos!V17)/Datos!V17,(Datos!L17+Datos!AF17-(Datos!V17+Datos!AN17))/(Datos!V17+Datos!AN17))
     ),IF(D_I="SI",(Datos!L17-Datos!V17)/Datos!V17,(Datos!L17+Datos!AF17-(Datos!V17+Datos!AN17))/(Datos!V17+Datos!AN17))," - ")</f>
        <v xml:space="preserve"> - </v>
      </c>
      <c r="F17" s="455" t="str">
        <f>IF(ISNUMBER((Datos!M17-Datos!W17)/Datos!W17),(Datos!M17-Datos!W17)/Datos!W17," - ")</f>
        <v xml:space="preserve"> - </v>
      </c>
      <c r="G17" s="456" t="str">
        <f>IF(ISNUMBER((Datos!N17-Datos!X17)/Datos!X17),(Datos!N17-Datos!X17)/Datos!X17," - ")</f>
        <v xml:space="preserve"> - </v>
      </c>
      <c r="H17" s="454" t="str">
        <f>IF(ISNUMBER(((NºAsuntos!G17/NºAsuntos!E17)-Datos!BD17)/Datos!BD17),((NºAsuntos!G17/NºAsuntos!E17)-Datos!BD17)/Datos!BD17," - ")</f>
        <v xml:space="preserve"> - </v>
      </c>
      <c r="I17" s="455" t="str">
        <f>IF(ISNUMBER(((NºAsuntos!I17/NºAsuntos!G17)-Datos!BE17)/Datos!BE17),((NºAsuntos!I17/NºAsuntos!G17)-Datos!BE17)/Datos!BE17," - ")</f>
        <v xml:space="preserve"> - </v>
      </c>
      <c r="J17" s="460" t="str">
        <f>IF(ISNUMBER((('Resol  Asuntos'!D17/NºAsuntos!G17)-Datos!BF17)/Datos!BF17),(('Resol  Asuntos'!D17/NºAsuntos!G17)-Datos!BF17)/Datos!BF17," - ")</f>
        <v xml:space="preserve"> - </v>
      </c>
      <c r="K17" s="461" t="str">
        <f>IF(ISNUMBER((((NºAsuntos!C17+NºAsuntos!E17)/NºAsuntos!G17)-Datos!BG17)/Datos!BG17),(((NºAsuntos!C17+NºAsuntos!E17)/NºAsuntos!G17)-Datos!BG17)/Datos!BG17," - ")</f>
        <v xml:space="preserve"> - </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-1.5873015873015872E-2</v>
      </c>
      <c r="C18" s="455">
        <f>IF(ISNUMBER(
   IF(D_I="SI",(Datos!J18-Datos!T18)/Datos!T18,(Datos!J18+Datos!AD18-(Datos!T18+Datos!AL18))/(Datos!T18+Datos!AL18))
     ),IF(D_I="SI",(Datos!J18-Datos!T18)/Datos!T18,(Datos!J18+Datos!AD18-(Datos!T18+Datos!AL18))/(Datos!T18+Datos!AL18))," - ")</f>
        <v>9.438775510204081E-2</v>
      </c>
      <c r="D18" s="455">
        <f>IF(ISNUMBER(
   IF(D_I="SI",(Datos!K18-Datos!U18)/Datos!U18,(Datos!K18+Datos!AE18-(Datos!U18+Datos!AM18))/(Datos!U18+Datos!AM18))
     ),IF(D_I="SI",(Datos!K18-Datos!U18)/Datos!U18,(Datos!K18+Datos!AE18-(Datos!U18+Datos!AM18))/(Datos!U18+Datos!AM18))," - ")</f>
        <v>-0.12659520163348648</v>
      </c>
      <c r="E18" s="455">
        <f>IF(ISNUMBER(
   IF(D_I="SI",(Datos!L18-Datos!V18)/Datos!V18,(Datos!L18+Datos!AF18-(Datos!V18+Datos!AN18))/(Datos!V18+Datos!AN18))
     ),IF(D_I="SI",(Datos!L18-Datos!V18)/Datos!V18,(Datos!L18+Datos!AF18-(Datos!V18+Datos!AN18))/(Datos!V18+Datos!AN18))," - ")</f>
        <v>0.28005759539236863</v>
      </c>
      <c r="F18" s="455">
        <f>IF(ISNUMBER((Datos!M18-Datos!W18)/Datos!W18),(Datos!M18-Datos!W18)/Datos!W18," - ")</f>
        <v>-7.2727272727272724E-2</v>
      </c>
      <c r="G18" s="456">
        <f>IF(ISNUMBER((Datos!N18-Datos!X18)/Datos!X18),(Datos!N18-Datos!X18)/Datos!X18," - ")</f>
        <v>-0.17587548638132297</v>
      </c>
      <c r="H18" s="454">
        <f>IF(ISNUMBER(((NºAsuntos!G18/NºAsuntos!E18)-Datos!BD18)/Datos!BD18),((NºAsuntos!G18/NºAsuntos!E18)-Datos!BD18)/Datos!BD18," - ")</f>
        <v>-0.20192382060682215</v>
      </c>
      <c r="I18" s="455">
        <f>IF(ISNUMBER(((NºAsuntos!I18/NºAsuntos!G18)-Datos!BE18)/Datos!BE18),((NºAsuntos!I18/NºAsuntos!G18)-Datos!BE18)/Datos!BE18," - ")</f>
        <v>0.46559487397641741</v>
      </c>
      <c r="J18" s="460">
        <f>IF(ISNUMBER((('Resol  Asuntos'!D18/NºAsuntos!G18)-Datos!BF18)/Datos!BF18),(('Resol  Asuntos'!D18/NºAsuntos!G18)-Datos!BF18)/Datos!BF18," - ")</f>
        <v>6.1675787683970029E-2</v>
      </c>
      <c r="K18" s="461">
        <f>IF(ISNUMBER((((NºAsuntos!C18+NºAsuntos!E18)/NºAsuntos!G18)-Datos!BG18)/Datos!BG18),(((NºAsuntos!C18+NºAsuntos!E18)/NºAsuntos!G18)-Datos!BG18)/Datos!BG18," - ")</f>
        <v>0.20072031365556645</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0.16791862284820031</v>
      </c>
      <c r="C19" s="852">
        <f>IF(ISNUMBER(
   IF(Criterios!B14="SI",(Datos!J19-Datos!T19)/Datos!T19,(Datos!J19+Datos!AD19-(Datos!T19+Datos!AL19))/(Datos!T19+Datos!AL19))
     ),IF(Criterios!B14="SI",(Datos!J19-Datos!T19)/Datos!T19,(Datos!J19+Datos!AD19-(Datos!T19+Datos!AL19))/(Datos!T19+Datos!AL19))," - ")</f>
        <v>2.1909047844623402E-3</v>
      </c>
      <c r="D19" s="852">
        <f>IF(ISNUMBER(
   IF(Criterios!B14="SI",(Datos!K19-Datos!U19)/Datos!U19,(Datos!K19+Datos!AE19-(Datos!U19+Datos!AM19))/(Datos!U19+Datos!AM19))
     ),IF(Criterios!B14="SI",(Datos!K19-Datos!U19)/Datos!U19,(Datos!K19+Datos!AE19-(Datos!U19+Datos!AM19))/(Datos!U19+Datos!AM19))," - ")</f>
        <v>-2.046081843273731E-2</v>
      </c>
      <c r="E19" s="852">
        <f>IF(ISNUMBER(
   IF(Criterios!B14="SI",(Datos!L19-Datos!V19)/Datos!V19,(Datos!L19+Datos!AF19-(Datos!V19+Datos!AN19))/(Datos!V19+Datos!AN19))
     ),IF(Criterios!B14="SI",(Datos!L19-Datos!V19)/Datos!V19,(Datos!L19+Datos!AF19-(Datos!V19+Datos!AN19))/(Datos!V19+Datos!AN19))," - ")</f>
        <v>0.19957601453664445</v>
      </c>
      <c r="F19" s="853">
        <f>IF(ISNUMBER((Datos!M19-Datos!W19)/Datos!W19),(Datos!M19-Datos!W19)/Datos!W19," - ")</f>
        <v>-8.2082965578111206E-2</v>
      </c>
      <c r="G19" s="854">
        <f>IF(ISNUMBER((Datos!N19-Datos!X19)/Datos!X19),(Datos!N19-Datos!X19)/Datos!X19," - ")</f>
        <v>-4.5652625025938993E-3</v>
      </c>
      <c r="H19" s="854">
        <f>IF(ISNUMBER(((NºAsuntos!G19/NºAsuntos!E19)-Datos!BD19)/Datos!BD19),((NºAsuntos!G19/NºAsuntos!E19)-Datos!BD19)/Datos!BD19," - ")</f>
        <v>-2.2602203940447166E-2</v>
      </c>
      <c r="I19" s="854">
        <f>IF(ISNUMBER(((NºAsuntos!I19/NºAsuntos!G19)-Datos!BE19)/Datos!BE19),((NºAsuntos!I19/NºAsuntos!G19)-Datos!BE19)/Datos!BE19," - ")</f>
        <v>0.22463300816341283</v>
      </c>
      <c r="J19" s="854">
        <f>IF(ISNUMBER((('Resol  Asuntos'!D19/NºAsuntos!G19)-Datos!BF19)/Datos!BF19),(('Resol  Asuntos'!D19/NºAsuntos!G19)-Datos!BF19)/Datos!BF19," - ")</f>
        <v>-6.2909323388961866E-2</v>
      </c>
      <c r="K19" s="854">
        <f>IF(ISNUMBER((((NºAsuntos!C19+NºAsuntos!E19)/NºAsuntos!G19)-Datos!BG19)/Datos!BG19),(((NºAsuntos!C19+NºAsuntos!E19)/NºAsuntos!G19)-Datos!BG19)/Datos!BG19," - ")</f>
        <v>9.6006145395464884E-2</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-5.9835936543473321E-2</v>
      </c>
      <c r="C20" s="799">
        <f>IF(ISNUMBER(
   IF(J_V="SI",(Datos!J20-Datos!T20)/Datos!T20,(Datos!J20+Datos!Z20-(Datos!T20+Datos!AH20))/(Datos!T20+Datos!AH20))
     ),IF(J_V="SI",(Datos!J20-Datos!T20)/Datos!T20,(Datos!J20+Datos!Z20-(Datos!T20+Datos!AH20))/(Datos!T20+Datos!AH20))," - ")</f>
        <v>-0.12649198191366867</v>
      </c>
      <c r="D20" s="799">
        <f>IF(ISNUMBER(
   IF(J_V="SI",(Datos!K20-Datos!U20)/Datos!U20,(Datos!K20+Datos!AA20-(Datos!U20+Datos!AI20))/(Datos!U20+Datos!AI20))
     ),IF(J_V="SI",(Datos!K20-Datos!U20)/Datos!U20,(Datos!K20+Datos!AA20-(Datos!U20+Datos!AI20))/(Datos!U20+Datos!AI20))," - ")</f>
        <v>-0.13017521450587288</v>
      </c>
      <c r="E20" s="799">
        <f>IF(ISNUMBER(
   IF(J_V="SI",(Datos!L20-Datos!V20)/Datos!V20,(Datos!L20+Datos!AB20-(Datos!V20+Datos!AJ20))/(Datos!V20+Datos!AJ20))
     ),IF(J_V="SI",(Datos!L20-Datos!V20)/Datos!V20,(Datos!L20+Datos!AB20-(Datos!V20+Datos!AJ20))/(Datos!V20+Datos!AJ20))," - ")</f>
        <v>-5.2804645549472652E-2</v>
      </c>
      <c r="F20" s="800">
        <f>IF(ISNUMBER((Datos!M20-Datos!W20)/Datos!W20),(Datos!M20-Datos!W20)/Datos!W20," - ")</f>
        <v>-0.10502152080344333</v>
      </c>
      <c r="G20" s="801">
        <f>IF(ISNUMBER((Datos!N20-Datos!X20)/Datos!X20),(Datos!N20-Datos!X20)/Datos!X20," - ")</f>
        <v>-0.17753587333003465</v>
      </c>
      <c r="H20" s="802">
        <f>IF(ISNUMBER((Tasas!B20-Datos!BD20)/Datos!BD20),(Tasas!B20-Datos!BD20)/Datos!BD20," - ")</f>
        <v>-4.2165984924481667E-3</v>
      </c>
      <c r="I20" s="803">
        <f>IF(ISNUMBER((Tasas!C20-Datos!BE20)/Datos!BE20),(Tasas!C20-Datos!BE20)/Datos!BE20," - ")</f>
        <v>8.8949602548342915E-2</v>
      </c>
      <c r="J20" s="804">
        <f>IF(ISNUMBER((Tasas!D20-Datos!BF20)/Datos!BF20),(Tasas!D20-Datos!BF20)/Datos!BF20," - ")</f>
        <v>-0.44111913452601537</v>
      </c>
      <c r="K20" s="804">
        <f>IF(ISNUMBER((Tasas!E20-Datos!BG20)/Datos!BG20),(Tasas!E20-Datos!BG20)/Datos!BG20," - ")</f>
        <v>5.1456453638235207E-2</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91MbiT71sbCDrwoisVCZDZwZejdaJls99ncdc0eJC2GclL/XXWLL6QDpWvkDyj83bQ+V7xIgk+qGaS59zph3hQ==" saltValue="Xxxzk1YTEkomPnUYfFIWyw=="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COMUNIDAD VALENCIANA</v>
      </c>
    </row>
    <row r="3" spans="1:7" ht="19.5">
      <c r="A3" s="435" t="s">
        <v>12</v>
      </c>
      <c r="B3" s="390" t="str">
        <f>Criterios!A10 &amp;"  "&amp;Criterios!B10</f>
        <v>Provincias  VALENCIA</v>
      </c>
    </row>
    <row r="4" spans="1:7" ht="11.25" customHeight="1" thickBot="1">
      <c r="B4" s="390" t="str">
        <f>Criterios!A11 &amp;"  "&amp;Criterios!B11</f>
        <v>Resumenes por Partidos Judiciales  VALENCIA</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f>IF(ISNUMBER(NºAsuntos!G9/NºAsuntos!E9),NºAsuntos!G9/NºAsuntos!E9," - ")</f>
        <v>1.073750855578371</v>
      </c>
      <c r="C9" s="442">
        <f>IF(ISNUMBER(NºAsuntos!I9/NºAsuntos!G9),NºAsuntos!I9/NºAsuntos!G9," - ")</f>
        <v>2.8800796812749003</v>
      </c>
      <c r="D9" s="443">
        <f>IF(ISNUMBER('Resol  Asuntos'!D9/NºAsuntos!G9),'Resol  Asuntos'!D9/NºAsuntos!G9," - ")</f>
        <v>0.28677290836653385</v>
      </c>
      <c r="E9" s="444">
        <f>IF(ISNUMBER((NºAsuntos!C9+NºAsuntos!E9)/NºAsuntos!G9),(NºAsuntos!C9+NºAsuntos!E9)/NºAsuntos!G9," - ")</f>
        <v>3.8696414342629484</v>
      </c>
      <c r="G9" s="462"/>
    </row>
    <row r="10" spans="1:7" ht="21">
      <c r="A10" s="401" t="str">
        <f>Datos!A10</f>
        <v>Sección De Violencia sobre la Mujer del TI</v>
      </c>
      <c r="B10" s="441">
        <f>IF(ISNUMBER(NºAsuntos!G10/NºAsuntos!E10),NºAsuntos!G10/NºAsuntos!E10," - ")</f>
        <v>0.96234309623430958</v>
      </c>
      <c r="C10" s="442">
        <f>IF(ISNUMBER(NºAsuntos!I10/NºAsuntos!G10),NºAsuntos!I10/NºAsuntos!G10," - ")</f>
        <v>1.6347826086956523</v>
      </c>
      <c r="D10" s="443">
        <f>IF(ISNUMBER('Resol  Asuntos'!D10/NºAsuntos!G10),'Resol  Asuntos'!D10/NºAsuntos!G10," - ")</f>
        <v>0.42173913043478262</v>
      </c>
      <c r="E10" s="444">
        <f>IF(ISNUMBER((NºAsuntos!C10+NºAsuntos!E10)/NºAsuntos!G10),(NºAsuntos!C10+NºAsuntos!E10)/NºAsuntos!G10," - ")</f>
        <v>2.6347826086956521</v>
      </c>
      <c r="G10" s="462"/>
    </row>
    <row r="11" spans="1:7" ht="21">
      <c r="A11" s="401" t="str">
        <f>Datos!A11</f>
        <v xml:space="preserve">Sección de Familia, infancia y capacidad del TI                           </v>
      </c>
      <c r="B11" s="441">
        <f>IF(ISNUMBER(NºAsuntos!G11/NºAsuntos!E11),NºAsuntos!G11/NºAsuntos!E11," - ")</f>
        <v>0.986228342958685</v>
      </c>
      <c r="C11" s="442">
        <f>IF(ISNUMBER(NºAsuntos!I11/NºAsuntos!G11),NºAsuntos!I11/NºAsuntos!G11," - ")</f>
        <v>0.80585585585585584</v>
      </c>
      <c r="D11" s="443">
        <f>IF(ISNUMBER('Resol  Asuntos'!D11/NºAsuntos!G11),'Resol  Asuntos'!D11/NºAsuntos!G11," - ")</f>
        <v>0.20810810810810812</v>
      </c>
      <c r="E11" s="444">
        <f>IF(ISNUMBER((NºAsuntos!C11+NºAsuntos!E11)/NºAsuntos!G11),(NºAsuntos!C11+NºAsuntos!E11)/NºAsuntos!G11," - ")</f>
        <v>1.7270270270270269</v>
      </c>
      <c r="G11" s="462"/>
    </row>
    <row r="12" spans="1:7" ht="21.75" thickBot="1">
      <c r="A12" s="401" t="str">
        <f>Datos!A12</f>
        <v xml:space="preserve">Sección Civil y de Instrucción del T.I.       </v>
      </c>
      <c r="B12" s="441" t="str">
        <f>IF(ISNUMBER(NºAsuntos!G12/NºAsuntos!E12),NºAsuntos!G12/NºAsuntos!E12," - ")</f>
        <v xml:space="preserve"> - </v>
      </c>
      <c r="C12" s="442" t="str">
        <f>IF(ISNUMBER(NºAsuntos!I12/NºAsuntos!G12),NºAsuntos!I12/NºAsuntos!G12," - ")</f>
        <v xml:space="preserve"> - </v>
      </c>
      <c r="D12" s="443" t="str">
        <f>IF(ISNUMBER('Resol  Asuntos'!D12/NºAsuntos!G12),'Resol  Asuntos'!D12/NºAsuntos!G12," - ")</f>
        <v xml:space="preserve"> - </v>
      </c>
      <c r="E12" s="444" t="str">
        <f>IF(ISNUMBER((NºAsuntos!C12+NºAsuntos!E12)/NºAsuntos!G12),(NºAsuntos!C12+NºAsuntos!E12)/NºAsuntos!G12," - ")</f>
        <v xml:space="preserve"> - </v>
      </c>
      <c r="G12" s="462"/>
    </row>
    <row r="13" spans="1:7" ht="14.25" thickTop="1" thickBot="1">
      <c r="A13" s="845" t="str">
        <f>Datos!A13</f>
        <v>TOTAL</v>
      </c>
      <c r="B13" s="855">
        <f>IF(ISNUMBER(NºAsuntos!G13/NºAsuntos!E13),NºAsuntos!G13/NºAsuntos!E13," - ")</f>
        <v>1.0579771476936097</v>
      </c>
      <c r="C13" s="856">
        <f>IF(ISNUMBER(NºAsuntos!I13/NºAsuntos!G13),NºAsuntos!I13/NºAsuntos!G13," - ")</f>
        <v>2.5539999999999998</v>
      </c>
      <c r="D13" s="857">
        <f>IF(ISNUMBER('Resol  Asuntos'!D13/NºAsuntos!G13),'Resol  Asuntos'!D13/NºAsuntos!G13," - ")</f>
        <v>0.2772</v>
      </c>
      <c r="E13" s="858">
        <f>IF(ISNUMBER((NºAsuntos!C13+NºAsuntos!E13)/NºAsuntos!G13),(NºAsuntos!C13+NºAsuntos!E13)/NºAsuntos!G13," - ")</f>
        <v>3.5335999999999999</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f>IF(ISNUMBER(NºAsuntos!G15/NºAsuntos!E15),NºAsuntos!G15/NºAsuntos!E15," - ")</f>
        <v>0.98876860622462792</v>
      </c>
      <c r="C15" s="442">
        <f>IF(ISNUMBER(NºAsuntos!I15/NºAsuntos!G15),NºAsuntos!I15/NºAsuntos!G15," - ")</f>
        <v>0.96250171068838097</v>
      </c>
      <c r="D15" s="443">
        <f>IF(ISNUMBER('Resol  Asuntos'!D15/NºAsuntos!G15),'Resol  Asuntos'!D15/NºAsuntos!G15," - ")</f>
        <v>0.13534966470507731</v>
      </c>
      <c r="E15" s="444">
        <f>IF(ISNUMBER((NºAsuntos!C15+NºAsuntos!E15)/NºAsuntos!G15),(NºAsuntos!C15+NºAsuntos!E15)/NºAsuntos!G15," - ")</f>
        <v>1.9393732037772</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t="str">
        <f>IF(ISNUMBER(NºAsuntos!G17/NºAsuntos!E17),NºAsuntos!G17/NºAsuntos!E17," - ")</f>
        <v xml:space="preserve"> - </v>
      </c>
      <c r="C17" s="442" t="str">
        <f>IF(ISNUMBER(NºAsuntos!I17/NºAsuntos!G17),NºAsuntos!I17/NºAsuntos!G17," - ")</f>
        <v xml:space="preserve"> - </v>
      </c>
      <c r="D17" s="443" t="str">
        <f>IF(ISNUMBER('Resol  Asuntos'!D17/NºAsuntos!G17),'Resol  Asuntos'!D17/NºAsuntos!G17," - ")</f>
        <v xml:space="preserve"> - </v>
      </c>
      <c r="E17" s="444" t="str">
        <f>IF(ISNUMBER((NºAsuntos!C17+NºAsuntos!E17)/NºAsuntos!G17),(NºAsuntos!C17+NºAsuntos!E17)/NºAsuntos!G17," - ")</f>
        <v xml:space="preserve"> - </v>
      </c>
      <c r="G17" s="462"/>
    </row>
    <row r="18" spans="1:7" ht="21.75" thickBot="1">
      <c r="A18" s="401" t="str">
        <f>Datos!A18</f>
        <v>Sección De Violencia sobre la Mujer del TI</v>
      </c>
      <c r="B18" s="441">
        <f>IF(ISNUMBER(NºAsuntos!G18/NºAsuntos!E18),NºAsuntos!G18/NºAsuntos!E18," - ")</f>
        <v>0.79766899766899768</v>
      </c>
      <c r="C18" s="442">
        <f>IF(ISNUMBER(NºAsuntos!I18/NºAsuntos!G18),NºAsuntos!I18/NºAsuntos!G18," - ")</f>
        <v>1.0391583869082408</v>
      </c>
      <c r="D18" s="443">
        <f>IF(ISNUMBER('Resol  Asuntos'!D18/NºAsuntos!G18),'Resol  Asuntos'!D18/NºAsuntos!G18," - ")</f>
        <v>5.9614260666277029E-2</v>
      </c>
      <c r="E18" s="444">
        <f>IF(ISNUMBER((NºAsuntos!C18+NºAsuntos!E18)/NºAsuntos!G18),(NºAsuntos!C18+NºAsuntos!E18)/NºAsuntos!G18," - ")</f>
        <v>2.0508474576271185</v>
      </c>
      <c r="G18" s="462"/>
    </row>
    <row r="19" spans="1:7" ht="14.25" thickTop="1" thickBot="1">
      <c r="A19" s="845" t="str">
        <f>Datos!A19</f>
        <v>TOTAL</v>
      </c>
      <c r="B19" s="855">
        <f>IF(ISNUMBER(NºAsuntos!G19/NºAsuntos!E19),NºAsuntos!G19/NºAsuntos!E19," - ")</f>
        <v>0.96454948301329391</v>
      </c>
      <c r="C19" s="856">
        <f>IF(ISNUMBER(NºAsuntos!I19/NºAsuntos!G19),NºAsuntos!I19/NºAsuntos!G19," - ")</f>
        <v>0.97053598774885141</v>
      </c>
      <c r="D19" s="859">
        <f>IF(ISNUMBER('Resol  Asuntos'!D19/NºAsuntos!G19),'Resol  Asuntos'!D19/NºAsuntos!G19," - ")</f>
        <v>0.12741194486983154</v>
      </c>
      <c r="E19" s="858">
        <f>IF(ISNUMBER((NºAsuntos!C19+NºAsuntos!E19)/NºAsuntos!G19),(NºAsuntos!C19+NºAsuntos!E19)/NºAsuntos!G19," - ")</f>
        <v>1.9510566615620215</v>
      </c>
      <c r="G19" s="462"/>
    </row>
    <row r="20" spans="1:7" ht="15.75" customHeight="1" thickTop="1" thickBot="1">
      <c r="A20" s="790" t="str">
        <f>Datos!A20</f>
        <v>TOTAL JURISDICCIONES</v>
      </c>
      <c r="B20" s="805">
        <f>IF(ISNUMBER(NºAsuntos!G20/NºAsuntos!E20),NºAsuntos!G20/NºAsuntos!E20," - ")</f>
        <v>1.0071375751535221</v>
      </c>
      <c r="C20" s="806">
        <f>IF(ISNUMBER(NºAsuntos!I20/NºAsuntos!G20),NºAsuntos!I20/NºAsuntos!G20," - ")</f>
        <v>1.7287789305666401</v>
      </c>
      <c r="D20" s="807">
        <f>IF(ISNUMBER('Resol  Asuntos'!D20/NºAsuntos!G20),'Resol  Asuntos'!D20/NºAsuntos!G20," - ")</f>
        <v>0.19913806863527533</v>
      </c>
      <c r="E20" s="808">
        <f>IF(ISNUMBER((NºAsuntos!C20+NºAsuntos!E20)/NºAsuntos!G20),(NºAsuntos!C20+NºAsuntos!E20)/NºAsuntos!G20," - ")</f>
        <v>2.7088587390263368</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boVE2dz38gvoZCeGXfoER0XEfwjZSnivE+uD0wZeugz8bC45ZSpJAPZAKgV4WwVZRpC5XV+EyWpvGVk+3/MktA==" saltValue="UmggE0zetitUCtEambzU5g=="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COMUNIDAD VALENCIANA</v>
      </c>
      <c r="G2" s="262"/>
      <c r="H2" s="261"/>
      <c r="I2" s="261"/>
      <c r="J2" s="261"/>
      <c r="K2" s="261"/>
      <c r="L2" s="261" t="str">
        <f>Criterios!A10 &amp;"  "&amp;Criterios!B10</f>
        <v>Provincias  VALENCIA</v>
      </c>
      <c r="N2" s="261" t="str">
        <f>Criterios!A11 &amp;"  "&amp;Criterios!B11</f>
        <v>Resumenes por Partidos Judiciales  VALENCIA</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24</v>
      </c>
      <c r="B9" s="176" t="s">
        <v>247</v>
      </c>
      <c r="C9" s="159" t="str">
        <f>Datos!A9</f>
        <v>Sección Civil del T.I</v>
      </c>
      <c r="D9" s="159"/>
      <c r="E9" s="1020">
        <f>IF(ISNUMBER(Datos!AQ9),Datos!AQ9," - ")</f>
        <v>24</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2140</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f>IF(ISNUMBER(Datos!Q9),Datos!Q9," - ")</f>
        <v>2519</v>
      </c>
      <c r="Y9" s="333">
        <f>SUM(W9:X9)</f>
        <v>2519</v>
      </c>
      <c r="Z9" s="334" t="str">
        <f>IF(ISNUMBER(Datos!CC9),Datos!CC9," - ")</f>
        <v xml:space="preserve"> - </v>
      </c>
      <c r="AA9" s="331" t="str">
        <f>IF(ISNUMBER(IF(J_V="SI",Datos!L9,Datos!L9+Datos!AB9)-IF(Monitorios="SI",Datos!CD9,0)),
                          IF(J_V="SI",Datos!L9,Datos!L9+Datos!AB9)-IF(Monitorios="SI",Datos!CD9,0),
                          " - ")</f>
        <v xml:space="preserve"> - </v>
      </c>
      <c r="AB9" s="333">
        <f>IF(ISNUMBER(Datos!R9),Datos!R9," - ")</f>
        <v>32783</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f>IF(ISNUMBER(Datos!M9),Datos!M9," - ")</f>
        <v>3599</v>
      </c>
      <c r="AJ9" s="228" t="str">
        <f>IF(ISNUMBER(Datos!BW9),Datos!BW9," - ")</f>
        <v xml:space="preserve"> - </v>
      </c>
      <c r="AK9" s="227" t="str">
        <f>IF(ISNUMBER(Datos!BX9),Datos!BX9," - ")</f>
        <v xml:space="preserve"> - </v>
      </c>
      <c r="AL9" s="242">
        <f>IF(ISNUMBER(NºAsuntos!G9/NºAsuntos!E9),NºAsuntos!G9/NºAsuntos!E9," - ")</f>
        <v>1.073750855578371</v>
      </c>
      <c r="AM9" s="259">
        <f>IF(ISNUMBER(((NºAsuntos!I9/NºAsuntos!G9)*11)/factor_trimestre),((NºAsuntos!I9/NºAsuntos!G9)*11)/factor_trimestre," - ")</f>
        <v>8.6402390438247014</v>
      </c>
      <c r="AN9" s="243">
        <f>IF(ISNUMBER('Resol  Asuntos'!D9/NºAsuntos!G9),'Resol  Asuntos'!D9/NºAsuntos!G9," - ")</f>
        <v>0.28677290836653385</v>
      </c>
      <c r="AO9" s="244">
        <f>IF(ISNUMBER((NºAsuntos!C9+NºAsuntos!E9)/NºAsuntos!G9),(NºAsuntos!C9+NºAsuntos!E9)/NºAsuntos!G9," - ")</f>
        <v>3.8696414342629484</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6</v>
      </c>
      <c r="B10" s="274" t="s">
        <v>247</v>
      </c>
      <c r="C10" s="7" t="str">
        <f>Datos!A10</f>
        <v>Sección De Violencia sobre la Mujer del TI</v>
      </c>
      <c r="D10" s="7"/>
      <c r="E10" s="1020">
        <f>IF(ISNUMBER(Datos!AQ10),Datos!AQ10," - ")</f>
        <v>6</v>
      </c>
      <c r="F10" s="224">
        <f>IF(ISNUMBER(Datos!L10+Datos!K10-Datos!J10-K10),Datos!L10+Datos!K10-Datos!J10-K10," - ")</f>
        <v>367</v>
      </c>
      <c r="G10" s="332">
        <f>IF(ISNUMBER(Datos!I10),Datos!I10," - ")</f>
        <v>367</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46</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230</v>
      </c>
      <c r="X10" s="225">
        <f>IF(ISNUMBER(Datos!Q10),Datos!Q10," - ")</f>
        <v>24</v>
      </c>
      <c r="Y10" s="333">
        <f t="shared" ref="Y10:Y12" si="0">SUM(W10:X10)</f>
        <v>254</v>
      </c>
      <c r="Z10" s="334" t="str">
        <f>IF(ISNUMBER(Datos!CC10),Datos!CC10," - ")</f>
        <v xml:space="preserve"> - </v>
      </c>
      <c r="AA10" s="331">
        <f>IF(ISNUMBER(Datos!L10),Datos!L10,"-")</f>
        <v>376</v>
      </c>
      <c r="AB10" s="333">
        <f>IF(ISNUMBER(Datos!R10),Datos!R10," - ")</f>
        <v>290</v>
      </c>
      <c r="AC10" s="333">
        <f t="shared" ref="AC10:AC12" si="1">IF(ISNUMBER(AA10+AB10),AA10+AB10," - ")</f>
        <v>666</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97</v>
      </c>
      <c r="AJ10" s="230" t="str">
        <f>IF(ISNUMBER(Datos!BW10),Datos!BW10," - ")</f>
        <v xml:space="preserve"> - </v>
      </c>
      <c r="AK10" s="231" t="str">
        <f>IF(ISNUMBER(Datos!BX10),Datos!BX10," - ")</f>
        <v xml:space="preserve"> - </v>
      </c>
      <c r="AL10" s="242">
        <f>IF(ISNUMBER(NºAsuntos!G10/NºAsuntos!E10),NºAsuntos!G10/NºAsuntos!E10," - ")</f>
        <v>0.96234309623430958</v>
      </c>
      <c r="AM10" s="259">
        <f>IF(ISNUMBER(((NºAsuntos!I10/NºAsuntos!G10)*11)/factor_trimestre),((NºAsuntos!I10/NºAsuntos!G10)*11)/factor_trimestre," - ")</f>
        <v>4.9043478260869566</v>
      </c>
      <c r="AN10" s="243">
        <f>IF(ISNUMBER('Resol  Asuntos'!D10/NºAsuntos!G10),'Resol  Asuntos'!D10/NºAsuntos!G10," - ")</f>
        <v>0.42173913043478262</v>
      </c>
      <c r="AO10" s="244">
        <f>IF(ISNUMBER((NºAsuntos!C10+NºAsuntos!E10)/NºAsuntos!G10),(NºAsuntos!C10+NºAsuntos!E10)/NºAsuntos!G10," - ")</f>
        <v>2.6347826086956521</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6</v>
      </c>
      <c r="B11" s="274" t="s">
        <v>247</v>
      </c>
      <c r="C11" s="7" t="str">
        <f>Datos!A11</f>
        <v xml:space="preserve">Sección de Familia, infancia y capacidad del TI                           </v>
      </c>
      <c r="D11" s="7"/>
      <c r="E11" s="1020">
        <f>IF(ISNUMBER(Datos!AQ11),Datos!AQ11," - ")</f>
        <v>6</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138</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f>IF(ISNUMBER(Datos!Q11),Datos!Q11," - ")</f>
        <v>238</v>
      </c>
      <c r="Y11" s="333">
        <f t="shared" si="0"/>
        <v>238</v>
      </c>
      <c r="Z11" s="334" t="str">
        <f>IF(ISNUMBER(Datos!CC11),Datos!CC11," - ")</f>
        <v xml:space="preserve"> - </v>
      </c>
      <c r="AA11" s="331" t="str">
        <f>IF(ISNUMBER(IF(J_V="SI",Datos!L11,Datos!L11+Datos!AB11)-IF(Monitorios="SI",Datos!CD11,0)),
                          IF(J_V="SI",Datos!L11,Datos!L11+Datos!AB11)-IF(Monitorios="SI",Datos!CD11,0),
                          " - ")</f>
        <v xml:space="preserve"> - </v>
      </c>
      <c r="AB11" s="333">
        <f>IF(ISNUMBER(Datos!R11),Datos!R11," - ")</f>
        <v>1552</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f>IF(ISNUMBER(Datos!M11),Datos!M11," - ")</f>
        <v>462</v>
      </c>
      <c r="AJ11" s="230" t="str">
        <f>IF(ISNUMBER(Datos!BW11),Datos!BW11," - ")</f>
        <v xml:space="preserve"> - </v>
      </c>
      <c r="AK11" s="231" t="str">
        <f>IF(ISNUMBER(Datos!BX11),Datos!BX11," - ")</f>
        <v xml:space="preserve"> - </v>
      </c>
      <c r="AL11" s="242">
        <f>IF(ISNUMBER(NºAsuntos!G11/NºAsuntos!E11),NºAsuntos!G11/NºAsuntos!E11," - ")</f>
        <v>0.986228342958685</v>
      </c>
      <c r="AM11" s="259">
        <f>IF(ISNUMBER(((NºAsuntos!I11/NºAsuntos!G11)*11)/factor_trimestre),((NºAsuntos!I11/NºAsuntos!G11)*11)/factor_trimestre," - ")</f>
        <v>2.4175675675675676</v>
      </c>
      <c r="AN11" s="243">
        <f>IF(ISNUMBER('Resol  Asuntos'!D11/NºAsuntos!G11),'Resol  Asuntos'!D11/NºAsuntos!G11," - ")</f>
        <v>0.20810810810810812</v>
      </c>
      <c r="AO11" s="244">
        <f>IF(ISNUMBER((NºAsuntos!C11+NºAsuntos!E11)/NºAsuntos!G11),(NºAsuntos!C11+NºAsuntos!E11)/NºAsuntos!G11," - ")</f>
        <v>1.7270270270270269</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0</v>
      </c>
      <c r="B12" s="274" t="s">
        <v>247</v>
      </c>
      <c r="C12" s="7" t="str">
        <f>Datos!A12</f>
        <v xml:space="preserve">Sección Civil y de Instrucción del T.I.       </v>
      </c>
      <c r="D12" s="7"/>
      <c r="E12" s="1020">
        <f>IF(ISNUMBER(Datos!AQ12),Datos!AQ12," - ")</f>
        <v>0</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0</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t="str">
        <f>IF(ISNUMBER(Datos!Q12),Datos!Q12," - ")</f>
        <v xml:space="preserve"> - </v>
      </c>
      <c r="Y12" s="333">
        <f t="shared" si="0"/>
        <v>0</v>
      </c>
      <c r="Z12" s="334" t="str">
        <f>IF(ISNUMBER(Datos!CC12),Datos!CC12," - ")</f>
        <v xml:space="preserve"> - </v>
      </c>
      <c r="AA12" s="331" t="str">
        <f>IF(ISNUMBER(IF(J_V="SI",Datos!L12,Datos!L12+Datos!AB12)-IF(Monitorios="SI",Datos!CD12,0)),
                          IF(J_V="SI",Datos!L12,Datos!L12+Datos!AB12)-IF(Monitorios="SI",Datos!CD12,0),
                          " - ")</f>
        <v xml:space="preserve"> - </v>
      </c>
      <c r="AB12" s="333" t="str">
        <f>IF(ISNUMBER(Datos!R12),Datos!R12," - ")</f>
        <v xml:space="preserve"> - </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t="str">
        <f>IF(ISNUMBER(Datos!M12),Datos!M12," - ")</f>
        <v xml:space="preserve"> - </v>
      </c>
      <c r="AJ12" s="228" t="str">
        <f>IF(ISNUMBER(Datos!BW12),Datos!BW12," - ")</f>
        <v xml:space="preserve"> - </v>
      </c>
      <c r="AK12" s="227" t="str">
        <f>IF(ISNUMBER(Datos!BX12),Datos!BX12," - ")</f>
        <v xml:space="preserve"> - </v>
      </c>
      <c r="AL12" s="242" t="str">
        <f>IF(ISNUMBER(NºAsuntos!G12/NºAsuntos!E12),NºAsuntos!G12/NºAsuntos!E12," - ")</f>
        <v xml:space="preserve"> - </v>
      </c>
      <c r="AM12" s="259" t="str">
        <f>IF(ISNUMBER(((NºAsuntos!I12/NºAsuntos!G12)*11)/factor_trimestre),((NºAsuntos!I12/NºAsuntos!G12)*11)/factor_trimestre," - ")</f>
        <v xml:space="preserve"> - </v>
      </c>
      <c r="AN12" s="243" t="str">
        <f>IF(ISNUMBER('Resol  Asuntos'!D12/NºAsuntos!G12),'Resol  Asuntos'!D12/NºAsuntos!G12," - ")</f>
        <v xml:space="preserve"> - </v>
      </c>
      <c r="AO12" s="244" t="str">
        <f>IF(ISNUMBER((NºAsuntos!C12+NºAsuntos!E12)/NºAsuntos!G12),(NºAsuntos!C12+NºAsuntos!E12)/NºAsuntos!G12," - ")</f>
        <v xml:space="preserve"> - </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36</v>
      </c>
      <c r="F13" s="862">
        <f t="shared" si="3"/>
        <v>367</v>
      </c>
      <c r="G13" s="863">
        <f t="shared" si="3"/>
        <v>367</v>
      </c>
      <c r="H13" s="862">
        <f t="shared" si="3"/>
        <v>0</v>
      </c>
      <c r="I13" s="864">
        <f t="shared" si="3"/>
        <v>0</v>
      </c>
      <c r="J13" s="864">
        <f t="shared" si="3"/>
        <v>0</v>
      </c>
      <c r="K13" s="864">
        <f t="shared" si="3"/>
        <v>0</v>
      </c>
      <c r="L13" s="864">
        <f t="shared" si="3"/>
        <v>2324</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230</v>
      </c>
      <c r="X13" s="864">
        <f t="shared" si="4"/>
        <v>2781</v>
      </c>
      <c r="Y13" s="865">
        <f t="shared" si="4"/>
        <v>3011</v>
      </c>
      <c r="Z13" s="865">
        <f t="shared" si="4"/>
        <v>0</v>
      </c>
      <c r="AA13" s="865">
        <f t="shared" si="4"/>
        <v>376</v>
      </c>
      <c r="AB13" s="865">
        <f t="shared" si="4"/>
        <v>34625</v>
      </c>
      <c r="AC13" s="865">
        <f t="shared" si="4"/>
        <v>666</v>
      </c>
      <c r="AD13" s="865">
        <f t="shared" si="4"/>
        <v>0</v>
      </c>
      <c r="AE13" s="869">
        <f t="shared" si="4"/>
        <v>0</v>
      </c>
      <c r="AF13" s="862">
        <f t="shared" si="4"/>
        <v>0</v>
      </c>
      <c r="AG13" s="870">
        <f t="shared" si="4"/>
        <v>0</v>
      </c>
      <c r="AH13" s="867">
        <f t="shared" si="4"/>
        <v>0</v>
      </c>
      <c r="AI13" s="862">
        <f t="shared" si="4"/>
        <v>4158</v>
      </c>
      <c r="AJ13" s="864">
        <f t="shared" si="4"/>
        <v>0</v>
      </c>
      <c r="AK13" s="867">
        <f>SUBTOTAL(9,AK9:AK12)</f>
        <v>0</v>
      </c>
      <c r="AL13" s="871">
        <f>IF(ISNUMBER(NºAsuntos!G13/NºAsuntos!E13),NºAsuntos!G13/NºAsuntos!E13," - ")</f>
        <v>1.0579771476936097</v>
      </c>
      <c r="AM13" s="871">
        <f>IF(ISNUMBER(((NºAsuntos!I13/NºAsuntos!G13)*11)/factor_trimestre),((NºAsuntos!I13/NºAsuntos!G13)*11)/factor_trimestre," - ")</f>
        <v>7.6619999999999999</v>
      </c>
      <c r="AN13" s="872">
        <f>IF(ISNUMBER('Resol  Asuntos'!D13/NºAsuntos!G13),'Resol  Asuntos'!D13/NºAsuntos!G13," - ")</f>
        <v>0.2772</v>
      </c>
      <c r="AO13" s="873">
        <f>IF(ISNUMBER((NºAsuntos!C13+NºAsuntos!E13)/NºAsuntos!G13),(NºAsuntos!C13+NºAsuntos!E13)/NºAsuntos!G13," - ")</f>
        <v>3.5335999999999999</v>
      </c>
      <c r="AP13" s="874" t="str">
        <f t="shared" si="2"/>
        <v xml:space="preserve"> - </v>
      </c>
      <c r="AQ13" s="874">
        <f>IF(ISNUMBER((H13-W13+K13)/(F13)),(H13-W13+K13)/(F13)," - ")</f>
        <v>-0.6267029972752044</v>
      </c>
      <c r="AR13" s="875">
        <f>IF(ISNUMBER((Datos!P13-Datos!Q13)/(Datos!R13-Datos!P13+Datos!Q13)),(Datos!P13-Datos!Q13)/(Datos!R13-Datos!P13+Datos!Q13)," - ")</f>
        <v>-1.3026623339604356E-2</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21</v>
      </c>
      <c r="B15" s="274" t="s">
        <v>397</v>
      </c>
      <c r="C15" s="159" t="str">
        <f>Datos!A15</f>
        <v xml:space="preserve">Seccion Instruccion Del T.I.                   </v>
      </c>
      <c r="D15" s="159"/>
      <c r="E15" s="1020">
        <f>IF(ISNUMBER(Datos!AQ15),Datos!AQ15," - ")</f>
        <v>21</v>
      </c>
      <c r="F15" s="224">
        <f>IF(ISNUMBER(AA15+W15-Datos!J15-K15),AA15+W15-Datos!J15-K15," - ")</f>
        <v>13900</v>
      </c>
      <c r="G15" s="332">
        <f>IF(ISNUMBER(IF(D_I="SI",Datos!I15,Datos!I15+Datos!AC15)),IF(D_I="SI",Datos!I15,Datos!I15+Datos!AC15)," - ")</f>
        <v>13562</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900</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f>IF(ISNUMBER(IF(D_I="SI",Datos!K15,Datos!K15+Datos!AE15)),IF(D_I="SI",Datos!K15,Datos!K15+Datos!AE15)," - ")</f>
        <v>14614</v>
      </c>
      <c r="X15" s="225">
        <f>IF(ISNUMBER(Datos!Q15),Datos!Q15," - ")</f>
        <v>1039</v>
      </c>
      <c r="Y15" s="333">
        <f>SUM(W15)</f>
        <v>14614</v>
      </c>
      <c r="Z15" s="334" t="str">
        <f>IF(ISNUMBER(Datos!CC15),Datos!CC15," - ")</f>
        <v xml:space="preserve"> - </v>
      </c>
      <c r="AA15" s="331">
        <f>IF(ISNUMBER(IF(D_I="SI",Datos!L15,Datos!L15+Datos!AF15)),IF(D_I="SI",Datos!L15,Datos!L15+Datos!AF15)," - ")</f>
        <v>14066</v>
      </c>
      <c r="AB15" s="333">
        <f>IF(ISNUMBER(Datos!R15),Datos!R15," - ")</f>
        <v>1846</v>
      </c>
      <c r="AC15" s="333">
        <f t="shared" ref="AC15:AC18" si="6">IF(ISNUMBER(AA15+AB15),AA15+AB15," - ")</f>
        <v>15912</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f>IF(ISNUMBER(Datos!M15),Datos!M15," - ")</f>
        <v>1978</v>
      </c>
      <c r="AJ15" s="230" t="str">
        <f>IF(ISNUMBER(Datos!BW15),Datos!BW15," - ")</f>
        <v xml:space="preserve"> - </v>
      </c>
      <c r="AK15" s="231" t="str">
        <f>IF(ISNUMBER(Datos!BX15),Datos!BX15," - ")</f>
        <v xml:space="preserve"> - </v>
      </c>
      <c r="AL15" s="242">
        <f>IF(ISNUMBER(NºAsuntos!G15/NºAsuntos!E15),NºAsuntos!G15/NºAsuntos!E15," - ")</f>
        <v>0.98876860622462792</v>
      </c>
      <c r="AM15" s="259">
        <f>IF(ISNUMBER(((NºAsuntos!I15/NºAsuntos!G15)*11)/factor_trimestre),((NºAsuntos!I15/NºAsuntos!G15)*11)/factor_trimestre," - ")</f>
        <v>2.8875051320651428</v>
      </c>
      <c r="AN15" s="243">
        <f>IF(ISNUMBER('Resol  Asuntos'!D15/NºAsuntos!G15),'Resol  Asuntos'!D15/NºAsuntos!G15," - ")</f>
        <v>0.13534966470507731</v>
      </c>
      <c r="AO15" s="244">
        <f>IF(ISNUMBER((NºAsuntos!C15+NºAsuntos!E15)/NºAsuntos!G15),(NºAsuntos!C15+NºAsuntos!E15)/NºAsuntos!G15," - ")</f>
        <v>1.9393732037772</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0</v>
      </c>
      <c r="B17" s="274" t="s">
        <v>397</v>
      </c>
      <c r="C17" s="159" t="str">
        <f>Datos!A17</f>
        <v xml:space="preserve">Sección Civil y de Inst. TI                      </v>
      </c>
      <c r="D17" s="159"/>
      <c r="E17" s="1020">
        <f>IF(ISNUMBER(Datos!AQ17),Datos!AQ17," - ")</f>
        <v>0</v>
      </c>
      <c r="F17" s="224" t="str">
        <f>IF(ISNUMBER(AA17+W17-Datos!J17-K17),AA17+W17-Datos!J17-K17," - ")</f>
        <v xml:space="preserve"> - </v>
      </c>
      <c r="G17" s="332" t="str">
        <f>IF(ISNUMBER(IF(D_I="SI",Datos!I17,Datos!I17+Datos!AC17)),IF(D_I="SI",Datos!I17,Datos!I17+Datos!AC17)," - ")</f>
        <v xml:space="preserve"> - </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0</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t="str">
        <f>IF(ISNUMBER(IF(D_I="SI",Datos!K17,Datos!K17+Datos!AE17)),IF(D_I="SI",Datos!K17,Datos!K17+Datos!AE17)," - ")</f>
        <v xml:space="preserve"> - </v>
      </c>
      <c r="X17" s="225" t="str">
        <f>IF(ISNUMBER(Datos!Q17),Datos!Q17," - ")</f>
        <v xml:space="preserve"> - </v>
      </c>
      <c r="Y17" s="333">
        <f t="shared" ref="Y17:Y18" si="9">SUM(W17:X17)</f>
        <v>0</v>
      </c>
      <c r="Z17" s="334" t="str">
        <f>IF(ISNUMBER(Datos!CC17),Datos!CC17," - ")</f>
        <v xml:space="preserve"> - </v>
      </c>
      <c r="AA17" s="331" t="str">
        <f>IF(ISNUMBER(IF(D_I="SI",Datos!L17,Datos!L17+Datos!AF17)),IF(D_I="SI",Datos!L17,Datos!L17+Datos!AF17)," - ")</f>
        <v xml:space="preserve"> - </v>
      </c>
      <c r="AB17" s="333" t="str">
        <f>IF(ISNUMBER(Datos!R17),Datos!R17," - ")</f>
        <v xml:space="preserve"> - </v>
      </c>
      <c r="AC17" s="333" t="str">
        <f t="shared" si="6"/>
        <v xml:space="preserve"> - </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t="str">
        <f>IF(ISNUMBER(Datos!M17),Datos!M17," - ")</f>
        <v xml:space="preserve"> - </v>
      </c>
      <c r="AJ17" s="230" t="str">
        <f>IF(ISNUMBER(Datos!BW17),Datos!BW17," - ")</f>
        <v xml:space="preserve"> - </v>
      </c>
      <c r="AK17" s="231" t="str">
        <f>IF(ISNUMBER(Datos!BX17),Datos!BX17," - ")</f>
        <v xml:space="preserve"> - </v>
      </c>
      <c r="AL17" s="242" t="str">
        <f>IF(ISNUMBER(NºAsuntos!G17/NºAsuntos!E17),NºAsuntos!G17/NºAsuntos!E17," - ")</f>
        <v xml:space="preserve"> - </v>
      </c>
      <c r="AM17" s="259" t="str">
        <f>IF(ISNUMBER(((NºAsuntos!I17/NºAsuntos!G17)*11)/factor_trimestre),((NºAsuntos!I17/NºAsuntos!G17)*11)/factor_trimestre," - ")</f>
        <v xml:space="preserve"> - </v>
      </c>
      <c r="AN17" s="243" t="str">
        <f>IF(ISNUMBER('Resol  Asuntos'!D17/NºAsuntos!G17),'Resol  Asuntos'!D17/NºAsuntos!G17," - ")</f>
        <v xml:space="preserve"> - </v>
      </c>
      <c r="AO17" s="244" t="str">
        <f>IF(ISNUMBER((NºAsuntos!C17+NºAsuntos!E17)/NºAsuntos!G17),(NºAsuntos!C17+NºAsuntos!E17)/NºAsuntos!G17," - ")</f>
        <v xml:space="preserve"> - </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6</v>
      </c>
      <c r="B18" s="274" t="s">
        <v>397</v>
      </c>
      <c r="C18" s="7" t="str">
        <f>Datos!A18</f>
        <v>Sección De Violencia sobre la Mujer del TI</v>
      </c>
      <c r="D18" s="7"/>
      <c r="E18" s="1020">
        <f>IF(ISNUMBER(Datos!AQ18),Datos!AQ18," - ")</f>
        <v>6</v>
      </c>
      <c r="F18" s="224" t="str">
        <f>IF(ISNUMBER(AA18+W18-H18-K18),AA18+W18-H18-K18," - ")</f>
        <v xml:space="preserve"> - </v>
      </c>
      <c r="G18" s="332">
        <f>IF(ISNUMBER(IF(D_I="SI",Datos!I18,Datos!I18+Datos!AC18)),IF(D_I="SI",Datos!I18,Datos!I18+Datos!AC18)," - ")</f>
        <v>1364</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20</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1711</v>
      </c>
      <c r="X18" s="225">
        <f>IF(ISNUMBER(Datos!Q18),Datos!Q18," - ")</f>
        <v>27</v>
      </c>
      <c r="Y18" s="333">
        <f t="shared" si="9"/>
        <v>1738</v>
      </c>
      <c r="Z18" s="334" t="str">
        <f>IF(ISNUMBER(Datos!CC18),Datos!CC18," - ")</f>
        <v xml:space="preserve"> - </v>
      </c>
      <c r="AA18" s="331">
        <f>IF(ISNUMBER(Datos!L18),Datos!L18,"-")</f>
        <v>1778</v>
      </c>
      <c r="AB18" s="333">
        <f>IF(ISNUMBER(Datos!R18),Datos!R18," - ")</f>
        <v>30</v>
      </c>
      <c r="AC18" s="333">
        <f t="shared" si="6"/>
        <v>1808</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102</v>
      </c>
      <c r="AJ18" s="230" t="str">
        <f>IF(ISNUMBER(Datos!BW18),Datos!BW18," - ")</f>
        <v xml:space="preserve"> - </v>
      </c>
      <c r="AK18" s="231" t="str">
        <f>IF(ISNUMBER(Datos!BX18),Datos!BX18," - ")</f>
        <v xml:space="preserve"> - </v>
      </c>
      <c r="AL18" s="242">
        <f>IF(ISNUMBER(NºAsuntos!G18/NºAsuntos!E18),NºAsuntos!G18/NºAsuntos!E18," - ")</f>
        <v>0.79766899766899768</v>
      </c>
      <c r="AM18" s="259">
        <f>IF(ISNUMBER(((NºAsuntos!I18/NºAsuntos!G18)*11)/factor_trimestre),((NºAsuntos!I18/NºAsuntos!G18)*11)/factor_trimestre," - ")</f>
        <v>3.1174751607247226</v>
      </c>
      <c r="AN18" s="243">
        <f>IF(ISNUMBER('Resol  Asuntos'!D18/NºAsuntos!G18),'Resol  Asuntos'!D18/NºAsuntos!G18," - ")</f>
        <v>5.9614260666277029E-2</v>
      </c>
      <c r="AO18" s="244">
        <f>IF(ISNUMBER((NºAsuntos!C18+NºAsuntos!E18)/NºAsuntos!G18),(NºAsuntos!C18+NºAsuntos!E18)/NºAsuntos!G18," - ")</f>
        <v>2.0508474576271185</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27</v>
      </c>
      <c r="F19" s="862">
        <f>SUBTOTAL(9,F14:F18)</f>
        <v>13900</v>
      </c>
      <c r="G19" s="863">
        <f>SUBTOTAL(9,G15:G18)</f>
        <v>14926</v>
      </c>
      <c r="H19" s="862">
        <f t="shared" ref="H19:O19" si="12">SUBTOTAL(9,H14:H18)</f>
        <v>0</v>
      </c>
      <c r="I19" s="864">
        <f t="shared" si="12"/>
        <v>0</v>
      </c>
      <c r="J19" s="864">
        <f t="shared" si="12"/>
        <v>0</v>
      </c>
      <c r="K19" s="864">
        <f t="shared" si="12"/>
        <v>0</v>
      </c>
      <c r="L19" s="864">
        <f t="shared" si="12"/>
        <v>920</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16325</v>
      </c>
      <c r="X19" s="864">
        <f t="shared" si="13"/>
        <v>1066</v>
      </c>
      <c r="Y19" s="865">
        <f t="shared" si="13"/>
        <v>16352</v>
      </c>
      <c r="Z19" s="865">
        <f t="shared" si="13"/>
        <v>0</v>
      </c>
      <c r="AA19" s="865">
        <f t="shared" si="13"/>
        <v>15844</v>
      </c>
      <c r="AB19" s="865">
        <f t="shared" si="13"/>
        <v>1876</v>
      </c>
      <c r="AC19" s="865">
        <f t="shared" si="13"/>
        <v>17720</v>
      </c>
      <c r="AD19" s="865">
        <f t="shared" si="13"/>
        <v>0</v>
      </c>
      <c r="AE19" s="869">
        <f t="shared" si="13"/>
        <v>0</v>
      </c>
      <c r="AF19" s="862">
        <f t="shared" si="13"/>
        <v>0</v>
      </c>
      <c r="AG19" s="870">
        <f t="shared" si="13"/>
        <v>0</v>
      </c>
      <c r="AH19" s="867">
        <f t="shared" si="13"/>
        <v>0</v>
      </c>
      <c r="AI19" s="862">
        <f t="shared" si="13"/>
        <v>2080</v>
      </c>
      <c r="AJ19" s="864">
        <f t="shared" si="13"/>
        <v>0</v>
      </c>
      <c r="AK19" s="867">
        <f t="shared" si="13"/>
        <v>0</v>
      </c>
      <c r="AL19" s="871">
        <f>IF(ISNUMBER(NºAsuntos!G19/NºAsuntos!E19),NºAsuntos!G19/NºAsuntos!E19," - ")</f>
        <v>0.96454948301329391</v>
      </c>
      <c r="AM19" s="871">
        <f>IF(ISNUMBER(((NºAsuntos!I19/NºAsuntos!G19)*11)/factor_trimestre),((NºAsuntos!I19/NºAsuntos!G19)*11)/factor_trimestre," - ")</f>
        <v>2.9116079632465541</v>
      </c>
      <c r="AN19" s="872">
        <f>IF(ISNUMBER('Resol  Asuntos'!D19/NºAsuntos!G19),'Resol  Asuntos'!D19/NºAsuntos!G19," - ")</f>
        <v>0.12741194486983154</v>
      </c>
      <c r="AO19" s="873">
        <f>IF(ISNUMBER((NºAsuntos!C19+NºAsuntos!E19)/NºAsuntos!G19),(NºAsuntos!C19+NºAsuntos!E19)/NºAsuntos!G19," - ")</f>
        <v>1.9510566615620215</v>
      </c>
      <c r="AP19" s="874" t="str">
        <f t="shared" si="2"/>
        <v xml:space="preserve"> - </v>
      </c>
      <c r="AQ19" s="874">
        <f>IF(ISNUMBER((H19-W19+K19)/(F19)),(H19-W19+K19)/(F19)," - ")</f>
        <v>-1.1744604316546763</v>
      </c>
      <c r="AR19" s="875">
        <f>IF(ISNUMBER((Datos!P19-Datos!Q19)/(Datos!R19-Datos!P19+Datos!Q19)),(Datos!P19-Datos!Q19)/(Datos!R19-Datos!P19+Datos!Q19)," - ")</f>
        <v>-7.2205736894164194E-2</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63</v>
      </c>
      <c r="F20" s="817">
        <f t="shared" si="15"/>
        <v>14267</v>
      </c>
      <c r="G20" s="818">
        <f t="shared" si="15"/>
        <v>15293</v>
      </c>
      <c r="H20" s="817">
        <f t="shared" si="15"/>
        <v>0</v>
      </c>
      <c r="I20" s="819">
        <f t="shared" si="15"/>
        <v>0</v>
      </c>
      <c r="J20" s="819">
        <f t="shared" si="15"/>
        <v>0</v>
      </c>
      <c r="K20" s="878">
        <f t="shared" si="15"/>
        <v>0</v>
      </c>
      <c r="L20" s="819">
        <f t="shared" si="15"/>
        <v>3244</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16555</v>
      </c>
      <c r="X20" s="818">
        <f t="shared" si="16"/>
        <v>3847</v>
      </c>
      <c r="Y20" s="825">
        <f t="shared" si="16"/>
        <v>19363</v>
      </c>
      <c r="Z20" s="825">
        <f t="shared" si="16"/>
        <v>0</v>
      </c>
      <c r="AA20" s="825">
        <f t="shared" si="16"/>
        <v>16220</v>
      </c>
      <c r="AB20" s="825">
        <f t="shared" si="16"/>
        <v>36501</v>
      </c>
      <c r="AC20" s="825">
        <f t="shared" si="16"/>
        <v>18386</v>
      </c>
      <c r="AD20" s="825">
        <f t="shared" si="16"/>
        <v>0</v>
      </c>
      <c r="AE20" s="827">
        <f t="shared" si="16"/>
        <v>0</v>
      </c>
      <c r="AF20" s="828">
        <f t="shared" si="16"/>
        <v>0</v>
      </c>
      <c r="AG20" s="829">
        <f t="shared" si="16"/>
        <v>0</v>
      </c>
      <c r="AH20" s="827">
        <f t="shared" si="16"/>
        <v>0</v>
      </c>
      <c r="AI20" s="817">
        <f t="shared" si="16"/>
        <v>6238</v>
      </c>
      <c r="AJ20" s="817">
        <f t="shared" si="16"/>
        <v>0</v>
      </c>
      <c r="AK20" s="827">
        <f t="shared" si="16"/>
        <v>0</v>
      </c>
      <c r="AL20" s="881">
        <f>IF(ISNUMBER(NºAsuntos!G20/NºAsuntos!E20),NºAsuntos!G20/NºAsuntos!E20," - ")</f>
        <v>1.0071375751535221</v>
      </c>
      <c r="AM20" s="882">
        <f>IF(ISNUMBER(((NºAsuntos!I20/NºAsuntos!G20)*11)/factor_trimestre),((NºAsuntos!I20/NºAsuntos!G20)*11)/factor_trimestre," - ")</f>
        <v>5.1863367916999206</v>
      </c>
      <c r="AN20" s="882">
        <f>IF(ISNUMBER('Resol  Asuntos'!D20/NºAsuntos!G20),'Resol  Asuntos'!D20/NºAsuntos!G20," - ")</f>
        <v>0.19913806863527533</v>
      </c>
      <c r="AO20" s="883">
        <f>IF(ISNUMBER((NºAsuntos!C20+NºAsuntos!E20)/NºAsuntos!G20),(NºAsuntos!C20+NºAsuntos!E20)/NºAsuntos!G20," - ")</f>
        <v>2.7088587390263368</v>
      </c>
      <c r="AP20" s="884" t="str">
        <f t="shared" si="2"/>
        <v xml:space="preserve"> - </v>
      </c>
      <c r="AQ20" s="885">
        <f>IF(OR(ISNUMBER(FIND("01",Criterios!A8,1)),ISNUMBER(FIND("02",Criterios!A8,1)),ISNUMBER(FIND("03",Criterios!A8,1)),ISNUMBER(FIND("04",Criterios!A8,1))),(I20-W20+K20)/(F20-K20),(H20-W20+K20)/(F20-K20))</f>
        <v>-1.1603700848111025</v>
      </c>
      <c r="AR20" s="886">
        <f>IF(ISNUMBER((Datos!P20-Datos!Q20)/(Datos!R20-Datos!P20+Datos!Q20)),(Datos!P20-Datos!Q20)/(Datos!R20-Datos!P20+Datos!Q20)," - ")</f>
        <v>-1.6251617076326004E-2</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6117.2</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13.175735273600484</v>
      </c>
      <c r="F22" s="251">
        <f>IF(ISNUMBER(STDEV(F8:F19)),STDEV(F8:F19),"-")</f>
        <v>7813.2811929432055</v>
      </c>
      <c r="G22" s="252">
        <f>IF(ISNUMBER(STDEV(G8:G19)),STDEV(G8:G19),"-")</f>
        <v>7445.5106406478262</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8121.784317500681</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1657.2119874743157</v>
      </c>
      <c r="AJ22" s="251">
        <f t="shared" si="20"/>
        <v>0</v>
      </c>
      <c r="AK22" s="253">
        <f t="shared" si="20"/>
        <v>0</v>
      </c>
      <c r="AL22" s="248">
        <f t="shared" si="20"/>
        <v>9.0057979330858018E-2</v>
      </c>
      <c r="AM22" s="249">
        <f t="shared" si="20"/>
        <v>2.5337592026566202</v>
      </c>
      <c r="AN22" s="249">
        <f t="shared" si="20"/>
        <v>0.12244142861479319</v>
      </c>
      <c r="AO22" s="250">
        <f t="shared" si="20"/>
        <v>0.85354142229016328</v>
      </c>
      <c r="AP22" s="290" t="str">
        <f t="shared" si="20"/>
        <v>-</v>
      </c>
      <c r="AQ22" s="291">
        <f t="shared" si="20"/>
        <v>0.38732299629506972</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HriztGQL5PMFWdWbYcZi6Q6H6TCW+ojMfLwvO9lP81aFIQLsEcvMu+BYB7QeqiGnqOcPxBtdemwK5aILuc09vg==" saltValue="4dGKEu8Fi6QEWqOEwjjrvg=="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COMUNIDAD VALENCIANA</v>
      </c>
      <c r="E2" s="262"/>
    </row>
    <row r="3" spans="2:20" ht="17.25" customHeight="1">
      <c r="C3" s="266"/>
      <c r="D3" s="261" t="str">
        <f>Criterios!A10 &amp;"  "&amp;Criterios!B10</f>
        <v>Provincias  VALENCIA</v>
      </c>
      <c r="E3" s="262"/>
    </row>
    <row r="4" spans="2:20" ht="17.25" customHeight="1" thickBot="1">
      <c r="D4" s="261" t="str">
        <f>Criterios!A11 &amp;"  "&amp;Criterios!B11</f>
        <v>Resumenes por Partidos Judiciales  VALENCIA</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f>IF(ISNUMBER((Datos!M9-Datos!W9)/Datos!W9),(Datos!M9-Datos!W9)/Datos!W9," - ")</f>
        <v>-9.5046517475484038E-2</v>
      </c>
      <c r="I9" s="349">
        <f>IF(ISNUMBER((Tasas!C9-Datos!BE9)/Datos!BE9),(Tasas!C9-Datos!BE9)/Datos!BE9," - ")</f>
        <v>0.16180660436842106</v>
      </c>
      <c r="J9" s="348">
        <f>IF(ISNUMBER((Tasas!D9-Datos!BF9)/Datos!BF9),(Tasas!D9-Datos!BF9)/Datos!BF9," - ")</f>
        <v>-0.47400381182940343</v>
      </c>
      <c r="K9" s="350">
        <f>IF(ISNUMBER((Tasas!E9-Datos!BG9)/Datos!BG9),(Tasas!E9-Datos!BG9)/Datos!BG9," - ")</f>
        <v>0.11641310397515452</v>
      </c>
      <c r="M9" t="e">
        <f>IF(Monitorios="SI",Datos!CE9,0)</f>
        <v>#REF!</v>
      </c>
      <c r="N9" t="e">
        <f>IF(Monitorios="SI",Datos!CF9,0)</f>
        <v>#REF!</v>
      </c>
      <c r="O9" t="e">
        <f>IF(Monitorios="SI",Datos!CG9,0)</f>
        <v>#REF!</v>
      </c>
      <c r="P9" t="e">
        <f>IF(Monitorios="SI",Datos!CH9,0)</f>
        <v>#REF!</v>
      </c>
      <c r="Q9">
        <f>IF(J_V="SI",0,Datos!AG9)</f>
        <v>683</v>
      </c>
      <c r="R9">
        <f>IF(J_V="SI",0,Datos!AH9)</f>
        <v>1258</v>
      </c>
      <c r="S9">
        <f>IF(J_V="SI",0,Datos!AI9)</f>
        <v>898</v>
      </c>
      <c r="T9">
        <f>IF(J_V="SI",0,Datos!AJ9)</f>
        <v>1043</v>
      </c>
    </row>
    <row r="10" spans="2:20" ht="14.25">
      <c r="B10" s="274" t="s">
        <v>247</v>
      </c>
      <c r="C10" s="7" t="str">
        <f>Datos!A10</f>
        <v>Sección De Violencia sobre la Mujer del TI</v>
      </c>
      <c r="D10" s="351">
        <f>IF(ISNUMBER((Datos!I10-Datos!S10)/Datos!S10),(Datos!I10-Datos!S10)/Datos!S10," - ")</f>
        <v>8.9020771513353122E-2</v>
      </c>
      <c r="E10" s="347">
        <f>IF(ISNUMBER((Datos!J10-Datos!T10)/Datos!T10),(Datos!J10-Datos!T10)/Datos!T10," - ")</f>
        <v>-0.11152416356877323</v>
      </c>
      <c r="F10" s="347">
        <f>IF(ISNUMBER((Datos!K10-Datos!U10)/Datos!U10),(Datos!K10-Datos!U10)/Datos!U10," - ")</f>
        <v>8.771929824561403E-3</v>
      </c>
      <c r="G10" s="348">
        <f>IF(ISNUMBER((Datos!L10-Datos!V10)/Datos!V10),(Datos!L10-Datos!V10)/Datos!V10," - ")</f>
        <v>-5.2910052910052907E-3</v>
      </c>
      <c r="H10" s="229">
        <f>IF(ISNUMBER((Datos!M10-Datos!W10)/Datos!W10),(Datos!M10-Datos!W10)/Datos!W10," - ")</f>
        <v>-2.0202020202020204E-2</v>
      </c>
      <c r="I10" s="349">
        <f>IF(ISNUMBER((Tasas!C10-Datos!BE10)/Datos!BE10),(Tasas!C10-Datos!BE10)/Datos!BE10," - ")</f>
        <v>-1.3940648723257381E-2</v>
      </c>
      <c r="J10" s="348">
        <f>IF(ISNUMBER((Tasas!D10-Datos!BF10)/Datos!BF10),(Tasas!D10-Datos!BF10)/Datos!BF10," - ")</f>
        <v>-2.8722002635046134E-2</v>
      </c>
      <c r="K10" s="350">
        <f>IF(ISNUMBER((Tasas!E10-Datos!BG10)/Datos!BG10),(Tasas!E10-Datos!BG10)/Datos!BG10," - ")</f>
        <v>-8.6956521739131026E-3</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f>IF(ISNUMBER((Datos!M11-Datos!W11)/Datos!W11),(Datos!M11-Datos!W11)/Datos!W11," - ")</f>
        <v>-0.2643312101910828</v>
      </c>
      <c r="I11" s="349">
        <f>IF(ISNUMBER((Tasas!C11-Datos!BE11)/Datos!BE11),(Tasas!C11-Datos!BE11)/Datos!BE11," - ")</f>
        <v>-6.86484721744271E-2</v>
      </c>
      <c r="J11" s="348">
        <f>IF(ISNUMBER((Tasas!D11-Datos!BF11)/Datos!BF11),(Tasas!D11-Datos!BF11)/Datos!BF11," - ")</f>
        <v>-0.63072546230440973</v>
      </c>
      <c r="K11" s="350">
        <f>IF(ISNUMBER((Tasas!E11-Datos!BG11)/Datos!BG11),(Tasas!E11-Datos!BG11)/Datos!BG11," - ")</f>
        <v>-7.7250671545441824E-2</v>
      </c>
      <c r="M11" t="e">
        <f>IF(Monitorios="SI",Datos!CE11,0)</f>
        <v>#REF!</v>
      </c>
      <c r="N11" t="e">
        <f>IF(Monitorios="SI",Datos!CF11,0)</f>
        <v>#REF!</v>
      </c>
      <c r="O11" t="e">
        <f>IF(Monitorios="SI",Datos!CG11,0)</f>
        <v>#REF!</v>
      </c>
      <c r="P11" t="e">
        <f>IF(Monitorios="SI",Datos!CH11,0)</f>
        <v>#REF!</v>
      </c>
      <c r="Q11">
        <f>IF(J_V="SI",0,Datos!AG11)</f>
        <v>495</v>
      </c>
      <c r="R11">
        <f>IF(J_V="SI",0,Datos!AH11)</f>
        <v>782</v>
      </c>
      <c r="S11">
        <f>IF(J_V="SI",0,Datos!AI11)</f>
        <v>732</v>
      </c>
      <c r="T11">
        <f>IF(J_V="SI",0,Datos!AJ11)</f>
        <v>530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t="str">
        <f>IF(ISNUMBER((Datos!M12-Datos!W12)/Datos!W12),(Datos!M12-Datos!W12)/Datos!W12," - ")</f>
        <v xml:space="preserve"> - </v>
      </c>
      <c r="I12" s="349" t="str">
        <f>IF(ISNUMBER((Tasas!C12-Datos!BE12)/Datos!BE12),(Tasas!C12-Datos!BE12)/Datos!BE12," - ")</f>
        <v xml:space="preserve"> - </v>
      </c>
      <c r="J12" s="348" t="str">
        <f>IF(ISNUMBER((Tasas!D12-Datos!BF12)/Datos!BF12),(Tasas!D12-Datos!BF12)/Datos!BF12," - ")</f>
        <v xml:space="preserve"> - </v>
      </c>
      <c r="K12" s="350" t="str">
        <f>IF(ISNUMBER((Tasas!E12-Datos!BG12)/Datos!BG12),(Tasas!E12-Datos!BG12)/Datos!BG12," - ")</f>
        <v xml:space="preserve"> - </v>
      </c>
      <c r="M12" t="e">
        <f>IF(Monitorios="SI",Datos!CE12,0)</f>
        <v>#REF!</v>
      </c>
      <c r="N12" t="e">
        <f>IF(Monitorios="SI",Datos!CF12,0)</f>
        <v>#REF!</v>
      </c>
      <c r="O12" t="e">
        <f>IF(Monitorios="SI",Datos!CG12,0)</f>
        <v>#REF!</v>
      </c>
      <c r="P12" t="e">
        <f>IF(Monitorios="SI",Datos!CH12,0)</f>
        <v>#REF!</v>
      </c>
      <c r="Q12">
        <f>IF(J_V="SI",0,Datos!AG12)</f>
        <v>0</v>
      </c>
      <c r="R12">
        <f>IF(J_V="SI",0,Datos!AH12)</f>
        <v>0</v>
      </c>
      <c r="S12">
        <f>IF(J_V="SI",0,Datos!AI12)</f>
        <v>0</v>
      </c>
      <c r="T12">
        <f>IF(J_V="SI",0,Datos!AJ12)</f>
        <v>0</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-0.11607142857142858</v>
      </c>
      <c r="I13" s="356">
        <f>IF(ISNUMBER((Tasas!C13-Datos!BE13)/Datos!BE13),(Tasas!C13-Datos!BE13)/Datos!BE13," - ")</f>
        <v>0.12389941999317626</v>
      </c>
      <c r="J13" s="354">
        <f>IF(ISNUMBER((Tasas!D13-Datos!BF13)/Datos!BF13),(Tasas!D13-Datos!BF13)/Datos!BF13," - ")</f>
        <v>-0.49242964224872232</v>
      </c>
      <c r="K13" s="357">
        <f>IF(ISNUMBER((Tasas!E13-Datos!BG13)/Datos!BG13),(Tasas!E13-Datos!BG13)/Datos!BG13," - ")</f>
        <v>8.3225998225377018E-2</v>
      </c>
      <c r="M13" t="e">
        <f>IF(Monitorios="SI",Datos!CE13,0)</f>
        <v>#REF!</v>
      </c>
      <c r="N13" t="e">
        <f>IF(Monitorios="SI",Datos!CF13,0)</f>
        <v>#REF!</v>
      </c>
      <c r="O13" t="e">
        <f>IF(Monitorios="SI",Datos!CG13,0)</f>
        <v>#REF!</v>
      </c>
      <c r="P13" t="e">
        <f>IF(Monitorios="SI",Datos!CH13,0)</f>
        <v>#REF!</v>
      </c>
      <c r="Q13">
        <f>IF(J_V="SI",0,Datos!AG13)</f>
        <v>1178</v>
      </c>
      <c r="R13">
        <f>IF(J_V="SI",0,Datos!AH13)</f>
        <v>2040</v>
      </c>
      <c r="S13">
        <f>IF(J_V="SI",0,Datos!AI13)</f>
        <v>1630</v>
      </c>
      <c r="T13">
        <f>IF(J_V="SI",0,Datos!AJ13)</f>
        <v>1573</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f>IF(ISNUMBER(
   IF(D_I="SI",(Datos!I15-Datos!S15)/Datos!S15,(Datos!I15+Datos!AC15-(Datos!S15+Datos!AK15))/(Datos!S15+Datos!AK15))
     ),IF(D_I="SI",(Datos!I15-Datos!S15)/Datos!S15,(Datos!I15+Datos!AC15-(Datos!S15+Datos!AK15))/(Datos!S15+Datos!AK15))," - ")</f>
        <v>0.19027558364051256</v>
      </c>
      <c r="E15" s="347">
        <f>IF(ISNUMBER(
   IF(D_I="SI",(Datos!J15-Datos!T15)/Datos!T15,(Datos!J15+Datos!AD15-(Datos!T15+Datos!AL15))/(Datos!T15+Datos!AL15))
     ),IF(D_I="SI",(Datos!J15-Datos!T15)/Datos!T15,(Datos!J15+Datos!AD15-(Datos!T15+Datos!AL15))/(Datos!T15+Datos!AL15))," - ")</f>
        <v>-9.9142550911039649E-3</v>
      </c>
      <c r="F15" s="347">
        <f>IF(ISNUMBER(
   IF(D_I="SI",(Datos!K15-Datos!U15)/Datos!U15,(Datos!K15+Datos!AE15-(Datos!U15+Datos!AM15))/(Datos!U15+Datos!AM15))
     ),IF(D_I="SI",(Datos!K15-Datos!U15)/Datos!U15,(Datos!K15+Datos!AE15-(Datos!U15+Datos!AM15))/(Datos!U15+Datos!AM15))," - ")</f>
        <v>-6.3235194125246478E-3</v>
      </c>
      <c r="G15" s="348">
        <f>IF(ISNUMBER(
   IF(D_I="SI",(Datos!L15-Datos!V15)/Datos!V15,(Datos!L15+Datos!AF15-(Datos!V15+Datos!AN15))/(Datos!V15+Datos!AN15))
     ),IF(D_I="SI",(Datos!L15-Datos!V15)/Datos!V15,(Datos!L15+Datos!AF15-(Datos!V15+Datos!AN15))/(Datos!V15+Datos!AN15))," - ")</f>
        <v>0.19011760724257551</v>
      </c>
      <c r="H15" s="229">
        <f>IF(ISNUMBER((Datos!M15-Datos!W15)/Datos!W15),(Datos!M15-Datos!W15)/Datos!W15," - ")</f>
        <v>-8.2560296846011128E-2</v>
      </c>
      <c r="I15" s="349">
        <f>IF(ISNUMBER((Tasas!C15-Datos!BE15)/Datos!BE15),(Tasas!C15-Datos!BE15)/Datos!BE15," - ")</f>
        <v>0.1976912309919637</v>
      </c>
      <c r="J15" s="348">
        <f>IF(ISNUMBER((Tasas!D15-Datos!BF15)/Datos!BF15),(Tasas!D15-Datos!BF15)/Datos!BF15," - ")</f>
        <v>-7.6721930047508269E-2</v>
      </c>
      <c r="K15" s="350">
        <f>IF(ISNUMBER((Tasas!E15-Datos!BG15)/Datos!BG15),(Tasas!E15-Datos!BG15)/Datos!BG15," - ")</f>
        <v>8.3594016714204161E-2</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t="str">
        <f>IF(ISNUMBER(
   IF(D_I="SI",(Datos!I17-Datos!S17)/Datos!S17,(Datos!I17+Datos!AC17-(Datos!S17+Datos!AK17))/(Datos!S17+Datos!AK17))
     ),IF(D_I="SI",(Datos!I17-Datos!S17)/Datos!S17,(Datos!I17+Datos!AC17-(Datos!S17+Datos!AK17))/(Datos!S17+Datos!AK17))," - ")</f>
        <v xml:space="preserve"> - </v>
      </c>
      <c r="E17" s="347" t="str">
        <f>IF(ISNUMBER(
   IF(D_I="SI",(Datos!J17-Datos!T17)/Datos!T17,(Datos!J17+Datos!AD17-(Datos!T17+Datos!AL17))/(Datos!T17+Datos!AL17))
     ),IF(D_I="SI",(Datos!J17-Datos!T17)/Datos!T17,(Datos!J17+Datos!AD17-(Datos!T17+Datos!AL17))/(Datos!T17+Datos!AL17))," - ")</f>
        <v xml:space="preserve"> - </v>
      </c>
      <c r="F17" s="347" t="str">
        <f>IF(ISNUMBER(
   IF(D_I="SI",(Datos!K17-Datos!U17)/Datos!U17,(Datos!K17+Datos!AE17-(Datos!U17+Datos!AM17))/(Datos!U17+Datos!AM17))
     ),IF(D_I="SI",(Datos!K17-Datos!U17)/Datos!U17,(Datos!K17+Datos!AE17-(Datos!U17+Datos!AM17))/(Datos!U17+Datos!AM17))," - ")</f>
        <v xml:space="preserve"> - </v>
      </c>
      <c r="G17" s="348" t="str">
        <f>IF(ISNUMBER(
   IF(D_I="SI",(Datos!L17-Datos!V17)/Datos!V17,(Datos!L17+Datos!AF17-(Datos!V17+Datos!AN17))/(Datos!V17+Datos!AN17))
     ),IF(D_I="SI",(Datos!L17-Datos!V17)/Datos!V17,(Datos!L17+Datos!AF17-(Datos!V17+Datos!AN17))/(Datos!V17+Datos!AN17))," - ")</f>
        <v xml:space="preserve"> - </v>
      </c>
      <c r="H17" s="229" t="str">
        <f>IF(ISNUMBER((Datos!M17-Datos!W17)/Datos!W17),(Datos!M17-Datos!W17)/Datos!W17," - ")</f>
        <v xml:space="preserve"> - </v>
      </c>
      <c r="I17" s="349" t="str">
        <f>IF(ISNUMBER((Tasas!C17-Datos!BE17)/Datos!BE17),(Tasas!C17-Datos!BE17)/Datos!BE17," - ")</f>
        <v xml:space="preserve"> - </v>
      </c>
      <c r="J17" s="348" t="str">
        <f>IF(ISNUMBER((Tasas!D17-Datos!BF17)/Datos!BF17),(Tasas!D17-Datos!BF17)/Datos!BF17," - ")</f>
        <v xml:space="preserve"> - </v>
      </c>
      <c r="K17" s="350" t="str">
        <f>IF(ISNUMBER((Tasas!E17-Datos!BG17)/Datos!BG17),(Tasas!E17-Datos!BG17)/Datos!BG17," - ")</f>
        <v xml:space="preserve"> - </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-1.5873015873015872E-2</v>
      </c>
      <c r="E18" s="347">
        <f>IF(ISNUMBER(
   IF(D_I="SI",(Datos!J18-Datos!T18)/Datos!T18,(Datos!J18+Datos!AD18-(Datos!T18+Datos!AL18))/(Datos!T18+Datos!AL18))
     ),IF(D_I="SI",(Datos!J18-Datos!T18)/Datos!T18,(Datos!J18+Datos!AD18-(Datos!T18+Datos!AL18))/(Datos!T18+Datos!AL18))," - ")</f>
        <v>9.438775510204081E-2</v>
      </c>
      <c r="F18" s="347">
        <f>IF(ISNUMBER(
   IF(D_I="SI",(Datos!K18-Datos!U18)/Datos!U18,(Datos!K18+Datos!AE18-(Datos!U18+Datos!AM18))/(Datos!U18+Datos!AM18))
     ),IF(D_I="SI",(Datos!K18-Datos!U18)/Datos!U18,(Datos!K18+Datos!AE18-(Datos!U18+Datos!AM18))/(Datos!U18+Datos!AM18))," - ")</f>
        <v>-0.12659520163348648</v>
      </c>
      <c r="G18" s="348">
        <f>IF(ISNUMBER(
   IF(D_I="SI",(Datos!L18-Datos!V18)/Datos!V18,(Datos!L18+Datos!AF18-(Datos!V18+Datos!AN18))/(Datos!V18+Datos!AN18))
     ),IF(D_I="SI",(Datos!L18-Datos!V18)/Datos!V18,(Datos!L18+Datos!AF18-(Datos!V18+Datos!AN18))/(Datos!V18+Datos!AN18))," - ")</f>
        <v>0.28005759539236863</v>
      </c>
      <c r="H18" s="229">
        <f>IF(ISNUMBER((Datos!M18-Datos!W18)/Datos!W18),(Datos!M18-Datos!W18)/Datos!W18," - ")</f>
        <v>-7.2727272727272724E-2</v>
      </c>
      <c r="I18" s="349">
        <f>IF(ISNUMBER((Tasas!C18-Datos!BE18)/Datos!BE18),(Tasas!C18-Datos!BE18)/Datos!BE18," - ")</f>
        <v>0.46559487397641741</v>
      </c>
      <c r="J18" s="348">
        <f>IF(ISNUMBER((Tasas!D18-Datos!BF18)/Datos!BF18),(Tasas!D18-Datos!BF18)/Datos!BF18," - ")</f>
        <v>6.1675787683970029E-2</v>
      </c>
      <c r="K18" s="350">
        <f>IF(ISNUMBER((Tasas!E18-Datos!BG18)/Datos!BG18),(Tasas!E18-Datos!BG18)/Datos!BG18," - ")</f>
        <v>0.20072031365556645</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0.16791862284820031</v>
      </c>
      <c r="E19" s="353">
        <f>IF(ISNUMBER(
   IF(D_I="SI",(Datos!J19-Datos!T19)/Datos!T19,(Datos!J19+Datos!AD19-(Datos!T19+Datos!AL19))/(Datos!T19+Datos!AL19))
     ),IF(D_I="SI",(Datos!J19-Datos!T19)/Datos!T19,(Datos!J19+Datos!AD19-(Datos!T19+Datos!AL19))/(Datos!T19+Datos!AL19))," - ")</f>
        <v>2.1909047844623402E-3</v>
      </c>
      <c r="F19" s="353">
        <f>IF(ISNUMBER(
   IF(D_I="SI",(Datos!K19-Datos!U19)/Datos!U19,(Datos!K19+Datos!AE19-(Datos!U19+Datos!AM19))/(Datos!U19+Datos!AM19))
     ),IF(D_I="SI",(Datos!K19-Datos!U19)/Datos!U19,(Datos!K19+Datos!AE19-(Datos!U19+Datos!AM19))/(Datos!U19+Datos!AM19))," - ")</f>
        <v>-2.046081843273731E-2</v>
      </c>
      <c r="G19" s="354">
        <f>IF(ISNUMBER(
   IF(D_I="SI",(Datos!L19-Datos!V19)/Datos!V19,(Datos!L19+Datos!AF19-(Datos!V19+Datos!AN19))/(Datos!V19+Datos!AN19))
     ),IF(D_I="SI",(Datos!L19-Datos!V19)/Datos!V19,(Datos!L19+Datos!AF19-(Datos!V19+Datos!AN19))/(Datos!V19+Datos!AN19))," - ")</f>
        <v>0.19957601453664445</v>
      </c>
      <c r="H19" s="355">
        <f>IF(ISNUMBER((Datos!M19-Datos!W19)/Datos!W19),(Datos!M19-Datos!W19)/Datos!W19," - ")</f>
        <v>-8.2082965578111206E-2</v>
      </c>
      <c r="I19" s="356">
        <f>IF(ISNUMBER((Tasas!C19-Datos!BE19)/Datos!BE19),(Tasas!C19-Datos!BE19)/Datos!BE19," - ")</f>
        <v>0.22463300816341283</v>
      </c>
      <c r="J19" s="354">
        <f>IF(ISNUMBER((Tasas!D19-Datos!BF19)/Datos!BF19),(Tasas!D19-Datos!BF19)/Datos!BF19," - ")</f>
        <v>-6.2909323388961866E-2</v>
      </c>
      <c r="K19" s="357">
        <f>IF(ISNUMBER((Tasas!E19-Datos!BG19)/Datos!BG19),(Tasas!E19-Datos!BG19)/Datos!BG19," - ")</f>
        <v>9.6006145395464884E-2</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-5.9835936543473321E-2</v>
      </c>
      <c r="E20" s="362">
        <f>IF(ISNUMBER(
   IF(J_V="SI",(Datos!J20-Datos!T20)/Datos!T20,(Datos!J20+Datos!Z20-(Datos!T20+Datos!AH20))/(Datos!T20+Datos!AH20))
     ),IF(J_V="SI",(Datos!J20-Datos!T20)/Datos!T20,(Datos!J20+Datos!Z20-(Datos!T20+Datos!AH20))/(Datos!T20+Datos!AH20))," - ")</f>
        <v>-0.12649198191366867</v>
      </c>
      <c r="F20" s="362">
        <f>IF(ISNUMBER(
   IF(J_V="SI",(Datos!K20-Datos!U20)/Datos!U20,(Datos!K20+Datos!AA20-(Datos!U20+Datos!AI20))/(Datos!U20+Datos!AI20))
     ),IF(J_V="SI",(Datos!K20-Datos!U20)/Datos!U20,(Datos!K20+Datos!AA20-(Datos!U20+Datos!AI20))/(Datos!U20+Datos!AI20))," - ")</f>
        <v>-0.13017521450587288</v>
      </c>
      <c r="G20" s="363">
        <f>IF(ISNUMBER(
   IF(J_V="SI",(Datos!L20-Datos!V20)/Datos!V20,(Datos!L20+Datos!AB20-(Datos!V20+Datos!AJ20))/(Datos!V20+Datos!AJ20))
     ),IF(J_V="SI",(Datos!L20-Datos!V20)/Datos!V20,(Datos!L20+Datos!AB20-(Datos!V20+Datos!AJ20))/(Datos!V20+Datos!AJ20))," - ")</f>
        <v>-5.2804645549472652E-2</v>
      </c>
      <c r="H20" s="364">
        <f>IF(ISNUMBER((Datos!M20-Datos!W20)/Datos!W20),(Datos!M20-Datos!W20)/Datos!W20," - ")</f>
        <v>-0.10502152080344333</v>
      </c>
      <c r="I20" s="361">
        <f>IF(ISNUMBER((Tasas!C20-Datos!BE20)/Datos!BE20),(Tasas!C20-Datos!BE20)/Datos!BE20," - ")</f>
        <v>8.8949602548342915E-2</v>
      </c>
      <c r="J20" s="362">
        <f>IF(ISNUMBER((Tasas!D20-Datos!BF20)/Datos!BF20),(Tasas!D20-Datos!BF20)/Datos!BF20," - ")</f>
        <v>-0.44111913452601537</v>
      </c>
      <c r="K20" s="363">
        <f>IF(ISNUMBER((Tasas!E20-Datos!BG20)/Datos!BG20),(Tasas!E20-Datos!BG20)/Datos!BG20," - ")</f>
        <v>5.1456453638235207E-2</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9.3209691823287588E-2</v>
      </c>
      <c r="E22" s="277">
        <f t="shared" si="1"/>
        <v>8.4252157220919846E-2</v>
      </c>
      <c r="F22" s="277">
        <f t="shared" si="1"/>
        <v>6.1465664197430082E-2</v>
      </c>
      <c r="G22" s="278">
        <f t="shared" si="1"/>
        <v>0.12118676817598641</v>
      </c>
      <c r="H22" s="284">
        <f t="shared" si="1"/>
        <v>7.6232627359085356E-2</v>
      </c>
      <c r="I22" s="276">
        <f t="shared" si="1"/>
        <v>0.17450330742878453</v>
      </c>
      <c r="J22" s="277">
        <f t="shared" si="1"/>
        <v>0.27830775424554755</v>
      </c>
      <c r="K22" s="278">
        <f t="shared" si="1"/>
        <v>8.9583746289157398E-2</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69Ojltgy1jt45+J7kB1jXaErNxJ7MUB0FMRGzgWQuEDM4BRdVn535agtMzs0KfOnk56usLbyewipRLr/cxiZLw==" saltValue="XQ5cpkhjJjo8IQXTrWqYHQ=="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COMUNIDAD VALENCIANA</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24</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f>IF(ISNUMBER(NºAsuntos!I9/NºAsuntos!G9),(NºAsuntos!I9/NºAsuntos!G9)*11," - ")</f>
        <v>31.680876494023902</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6</v>
      </c>
      <c r="B10" s="501" t="str">
        <f>Datos!A10</f>
        <v>Sección De Violencia sobre la Mujer del TI</v>
      </c>
      <c r="C10" s="224">
        <f t="shared" si="0"/>
        <v>367</v>
      </c>
      <c r="D10" s="224">
        <f>IF(ISNUMBER(Datos!I10),Datos!I10," - ")</f>
        <v>367</v>
      </c>
      <c r="E10" s="225">
        <f>IF(ISNUMBER(Datos!J10),Datos!J10," - ")</f>
        <v>239</v>
      </c>
      <c r="F10" s="225">
        <f>IF(ISNUMBER(Datos!K10),Datos!K10," - ")</f>
        <v>230</v>
      </c>
      <c r="G10" s="1029" t="str">
        <f>IF(Datos!E10&lt;&gt;"",Datos!E10,Datos!D10)</f>
        <v>37</v>
      </c>
      <c r="H10" s="226">
        <f>IF(ISNUMBER(Datos!L10),Datos!L10," - ")</f>
        <v>376</v>
      </c>
      <c r="I10" s="1039" t="str">
        <f>IF(ISNUMBER(Datos!AS10/Datos!BM10),Datos!AS10/Datos!BM10," - ")</f>
        <v xml:space="preserve"> - </v>
      </c>
      <c r="J10" s="1040">
        <f>IF(ISNUMBER(Datos!BY10/Datos!CN10),Datos!BY10/Datos!CN10," - ")</f>
        <v>0</v>
      </c>
      <c r="K10" s="229">
        <f t="shared" ref="K10:K12" si="1">IF(ISNUMBER((E10-F10)/C10),(E10-F10)/C10," - ")</f>
        <v>2.4523160762942781E-2</v>
      </c>
      <c r="L10" s="1020">
        <f>IF(ISNUMBER(NºAsuntos!I10/NºAsuntos!G10),(NºAsuntos!I10/NºAsuntos!G10)*11," - ")</f>
        <v>17.982608695652175</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6</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f>IF(ISNUMBER(NºAsuntos!I11/NºAsuntos!G11),(NºAsuntos!I11/NºAsuntos!G11)*11," - ")</f>
        <v>8.8644144144144139</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0</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t="str">
        <f>IF(ISNUMBER(NºAsuntos!I12/NºAsuntos!G12),(NºAsuntos!I12/NºAsuntos!G12)*11," - ")</f>
        <v xml:space="preserve"> - </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367</v>
      </c>
      <c r="D13" s="1044">
        <f>SUBTOTAL(9,D9:D12)</f>
        <v>367</v>
      </c>
      <c r="E13" s="1045">
        <f>SUBTOTAL(9,E9:E12)</f>
        <v>239</v>
      </c>
      <c r="F13" s="1046">
        <f>SUBTOTAL(9,F9:F12)</f>
        <v>230</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21</v>
      </c>
      <c r="B15" s="501" t="str">
        <f>Datos!A15</f>
        <v xml:space="preserve">Seccion Instruccion Del T.I.                   </v>
      </c>
      <c r="C15" s="224">
        <f t="shared" ref="C15:C18" si="2">IF(ISNUMBER(H15-E15+F15),H15-E15+F15," - ")</f>
        <v>13900</v>
      </c>
      <c r="D15" s="224">
        <f>IF(ISNUMBER(IF(D_I="SI",Datos!I15,Datos!I15+Datos!AC15)),IF(D_I="SI",Datos!I15,Datos!I15+Datos!AC15)," - ")</f>
        <v>13562</v>
      </c>
      <c r="E15" s="225">
        <f>IF(ISNUMBER(IF(D_I="SI",Datos!J15,Datos!J15+Datos!AD15)),IF(D_I="SI",Datos!J15,Datos!J15+Datos!AD15)," - ")</f>
        <v>14780</v>
      </c>
      <c r="F15" s="225">
        <f>IF(ISNUMBER(IF(D_I="SI",Datos!K15,Datos!K15+Datos!AE15)),IF(D_I="SI",Datos!K15,Datos!K15+Datos!AE15)," - ")</f>
        <v>14614</v>
      </c>
      <c r="G15" s="1029" t="str">
        <f>IF(Datos!E15&lt;&gt;"",Datos!E15,Datos!D15)</f>
        <v>03</v>
      </c>
      <c r="H15" s="226">
        <f>IF(ISNUMBER(IF(D_I="SI",Datos!L15,Datos!L15+Datos!AF15)),IF(D_I="SI",Datos!L15,Datos!L15+Datos!AF15)," - ")</f>
        <v>14066</v>
      </c>
      <c r="I15" s="1039" t="str">
        <f>IF(ISNUMBER(Datos!AS15/Datos!BM15),Datos!AS15/Datos!BM15," - ")</f>
        <v xml:space="preserve"> - </v>
      </c>
      <c r="J15" s="1040">
        <f>IF(ISNUMBER(Datos!BY15/Datos!CN15),Datos!BY15/Datos!CN15," - ")</f>
        <v>0</v>
      </c>
      <c r="K15" s="229">
        <f t="shared" ref="K15:K18" si="3">IF(ISNUMBER((E15-F15)/C15),(E15-F15)/C15," - ")</f>
        <v>1.1942446043165468E-2</v>
      </c>
      <c r="L15" s="1020">
        <f>IF(ISNUMBER(NºAsuntos!I15/NºAsuntos!G15),(NºAsuntos!I15/NºAsuntos!G15)*11," - ")</f>
        <v>10.587518817572191</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0</v>
      </c>
      <c r="B17" s="501" t="str">
        <f>Datos!A17</f>
        <v xml:space="preserve">Sección Civil y de Inst. TI                      </v>
      </c>
      <c r="C17" s="224" t="str">
        <f t="shared" si="2"/>
        <v xml:space="preserve"> - </v>
      </c>
      <c r="D17" s="224" t="str">
        <f>IF(ISNUMBER(IF(D_I="SI",Datos!I17,Datos!I17+Datos!AC17)),IF(D_I="SI",Datos!I17,Datos!I17+Datos!AC17)," - ")</f>
        <v xml:space="preserve"> - </v>
      </c>
      <c r="E17" s="225" t="str">
        <f>IF(ISNUMBER(IF(D_I="SI",Datos!J17,Datos!J17+Datos!AD17)),IF(D_I="SI",Datos!J17,Datos!J17+Datos!AD17)," - ")</f>
        <v xml:space="preserve"> - </v>
      </c>
      <c r="F17" s="225" t="str">
        <f>IF(ISNUMBER(IF(D_I="SI",Datos!K17,Datos!K17+Datos!AE17)),IF(D_I="SI",Datos!K17,Datos!K17+Datos!AE17)," - ")</f>
        <v xml:space="preserve"> - </v>
      </c>
      <c r="G17" s="1029" t="str">
        <f>IF(Datos!E17&lt;&gt;"",Datos!E17,Datos!D17)</f>
        <v>04</v>
      </c>
      <c r="H17" s="226" t="str">
        <f>IF(ISNUMBER(IF(D_I="SI",Datos!L17,Datos!L17+Datos!AF17)),IF(D_I="SI",Datos!L17,Datos!L17+Datos!AF17)," - ")</f>
        <v xml:space="preserve"> - </v>
      </c>
      <c r="I17" s="1039" t="str">
        <f>IF(ISNUMBER(Datos!AS17/Datos!BM17),Datos!AS17/Datos!BM17," - ")</f>
        <v xml:space="preserve"> - </v>
      </c>
      <c r="J17" s="1040">
        <f>IF(ISNUMBER(Datos!BY17/Datos!CN17),Datos!BY17/Datos!CN17," - ")</f>
        <v>0</v>
      </c>
      <c r="K17" s="229" t="str">
        <f t="shared" si="3"/>
        <v xml:space="preserve"> - </v>
      </c>
      <c r="L17" s="1020" t="str">
        <f>IF(ISNUMBER(NºAsuntos!I17/NºAsuntos!G17),(NºAsuntos!I17/NºAsuntos!G17)*11," - ")</f>
        <v xml:space="preserve"> - </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6</v>
      </c>
      <c r="B18" s="501" t="str">
        <f>Datos!A18</f>
        <v>Sección De Violencia sobre la Mujer del TI</v>
      </c>
      <c r="C18" s="224">
        <f t="shared" si="2"/>
        <v>1344</v>
      </c>
      <c r="D18" s="224">
        <f>IF(ISNUMBER(IF(D_I="SI",Datos!I18,Datos!I18+Datos!AC18)),IF(D_I="SI",Datos!I18,Datos!I18+Datos!AC18)," - ")</f>
        <v>1364</v>
      </c>
      <c r="E18" s="225">
        <f>IF(ISNUMBER(IF(D_I="SI",Datos!J18,Datos!J18+Datos!AD18)),IF(D_I="SI",Datos!J18,Datos!J18+Datos!AD18)," - ")</f>
        <v>2145</v>
      </c>
      <c r="F18" s="225">
        <f>IF(ISNUMBER(IF(D_I="SI",Datos!K18,Datos!K18+Datos!AE18)),IF(D_I="SI",Datos!K18,Datos!K18+Datos!AE18)," - ")</f>
        <v>1711</v>
      </c>
      <c r="G18" s="1029" t="str">
        <f>IF(Datos!E18&lt;&gt;"",Datos!E18,Datos!D18)</f>
        <v>37</v>
      </c>
      <c r="H18" s="226">
        <f>IF(ISNUMBER(IF(D_I="SI",Datos!L18,Datos!L18+Datos!AF18)),IF(D_I="SI",Datos!L18,Datos!L18+Datos!AF18)," - ")</f>
        <v>1778</v>
      </c>
      <c r="I18" s="1039" t="str">
        <f>IF(ISNUMBER(Datos!AS18/Datos!BM18),Datos!AS18/Datos!BM18," - ")</f>
        <v xml:space="preserve"> - </v>
      </c>
      <c r="J18" s="1040" t="str">
        <f>IF(ISNUMBER((Datos!BY18+Datos!BZ18)/Datos!CN18),(Datos!BY18+Datos!BZ18)/Datos!CN18," - ")</f>
        <v xml:space="preserve"> - </v>
      </c>
      <c r="K18" s="229">
        <f t="shared" si="3"/>
        <v>0.32291666666666669</v>
      </c>
      <c r="L18" s="1020">
        <f>IF(ISNUMBER(NºAsuntos!I18/NºAsuntos!G18),(NºAsuntos!I18/NºAsuntos!G18)*11," - ")</f>
        <v>11.43074225599065</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15244</v>
      </c>
      <c r="D19" s="1044">
        <f>SUBTOTAL(9,D15:D18)</f>
        <v>14926</v>
      </c>
      <c r="E19" s="1045">
        <f>SUBTOTAL(9,E15:E18)</f>
        <v>16925</v>
      </c>
      <c r="F19" s="1045">
        <f>SUBTOTAL(9,F15:F18)</f>
        <v>16325</v>
      </c>
      <c r="G19" s="1047" t="str">
        <f ca="1">INDIRECT(CONCATENATE("G",ROW()-1))</f>
        <v>37</v>
      </c>
      <c r="H19" s="1048">
        <f ca="1">SUMIF(G$14:G18,G19,H$14:H18)</f>
        <v>1778</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15611</v>
      </c>
      <c r="D20" s="1066">
        <f>SUBTOTAL(9,D9:D19)</f>
        <v>15293</v>
      </c>
      <c r="E20" s="1067">
        <f>SUBTOTAL(9,E9:E19)</f>
        <v>17164</v>
      </c>
      <c r="F20" s="1067">
        <f>SUBTOTAL(9,F9:F19)</f>
        <v>16555</v>
      </c>
      <c r="G20" s="1068"/>
      <c r="H20" s="1069">
        <f ca="1">SUMIF(B9:B19,"TOTAL",H9:H19)</f>
        <v>1778</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jxep6MEV8pc3AOPfLIdjwa/ZH1k5nbzUM1aqwgwstKLcZa1jnJscwD3+aqIq191iioTbpk8zBQnzvI9CZKi7g==" saltValue="rPRZi7+YcWZ/1n4VySvA/g=="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RHMhQ4XBjp44hm1OWvdDXEt28+H2F94ZENZj/oDAtgTxQjqc2JdEe8p8d/muNPzOtojeBLJK0sh6+FnI0MmWag==" saltValue="0mlJP8wDuGl4nn2KaqGD+w=="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COMUNIDAD VALENCIANA</v>
      </c>
    </row>
    <row r="4" spans="1:156" ht="13.5" thickBot="1">
      <c r="A4" t="str">
        <f>Criterios!A10</f>
        <v>Provincias</v>
      </c>
      <c r="B4" t="str">
        <f>Criterios!B10</f>
        <v>VALENCIA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v>36185</v>
      </c>
      <c r="J9" s="180">
        <v>11146</v>
      </c>
      <c r="K9" s="180">
        <v>11875</v>
      </c>
      <c r="L9" s="180">
        <v>35587</v>
      </c>
      <c r="M9" s="180">
        <v>3599</v>
      </c>
      <c r="N9" s="180">
        <v>5686</v>
      </c>
      <c r="O9" s="180">
        <v>4939</v>
      </c>
      <c r="P9" s="180">
        <v>2140</v>
      </c>
      <c r="Q9" s="180">
        <v>2519</v>
      </c>
      <c r="R9" s="180">
        <v>32783</v>
      </c>
      <c r="S9" s="180">
        <v>41311</v>
      </c>
      <c r="T9" s="180">
        <v>14837</v>
      </c>
      <c r="U9" s="180">
        <v>15861</v>
      </c>
      <c r="V9" s="180">
        <v>40502</v>
      </c>
      <c r="W9" s="180">
        <v>3977</v>
      </c>
      <c r="X9" s="187">
        <v>9137</v>
      </c>
      <c r="Y9" s="190">
        <v>691</v>
      </c>
      <c r="Z9" s="180">
        <v>542</v>
      </c>
      <c r="AA9" s="180">
        <v>675</v>
      </c>
      <c r="AB9" s="180">
        <v>558</v>
      </c>
      <c r="AC9" s="180">
        <v>0</v>
      </c>
      <c r="AD9" s="180">
        <v>0</v>
      </c>
      <c r="AE9" s="180">
        <v>0</v>
      </c>
      <c r="AF9" s="187">
        <v>0</v>
      </c>
      <c r="AG9" s="190">
        <v>683</v>
      </c>
      <c r="AH9" s="180">
        <v>1258</v>
      </c>
      <c r="AI9" s="180">
        <v>898</v>
      </c>
      <c r="AJ9" s="191">
        <v>1043</v>
      </c>
      <c r="AK9" s="179">
        <v>0</v>
      </c>
      <c r="AL9" s="180">
        <v>0</v>
      </c>
      <c r="AM9" s="180">
        <v>0</v>
      </c>
      <c r="AN9" s="187">
        <v>0</v>
      </c>
      <c r="AO9" s="257">
        <v>24</v>
      </c>
      <c r="AP9" s="153">
        <v>24</v>
      </c>
      <c r="AQ9" s="153">
        <v>24</v>
      </c>
      <c r="AR9" s="192">
        <v>24</v>
      </c>
      <c r="AS9" s="337" t="s">
        <v>763</v>
      </c>
      <c r="AT9" s="194"/>
      <c r="AU9" s="193"/>
      <c r="AV9" s="194"/>
      <c r="AW9" s="193"/>
      <c r="AX9" s="194"/>
      <c r="AY9" s="123">
        <f>IF(ISNUMBER(IF(J_V="SI",S9,S9+AG9)),IF(J_V="SI",S9,S9+AG9)," - ")</f>
        <v>41994</v>
      </c>
      <c r="AZ9" s="123">
        <f>IF(ISNUMBER(IF(J_V="SI",T9,T9+AH9)),IF(J_V="SI",T9,T9+AH9)," - ")</f>
        <v>16095</v>
      </c>
      <c r="BA9" s="124">
        <f>IF(ISNUMBER(IF(J_V="SI",U9,U9+AI9)),IF(J_V="SI",U9,U9+AI9)," - ")</f>
        <v>16759</v>
      </c>
      <c r="BB9" s="124">
        <f>IF(ISNUMBER(IF(J_V="SI",V9,V9+AJ9)),IF(J_V="SI",V9,V9+AJ9)," - ")</f>
        <v>41545</v>
      </c>
      <c r="BC9" s="125">
        <f>IF(ISNUMBER(X9),X9," - ")</f>
        <v>9137</v>
      </c>
      <c r="BD9" s="126">
        <f>IF(ISNUMBER(BA9/AZ9),BA9/AZ9," - ")</f>
        <v>1.0412550481515999</v>
      </c>
      <c r="BE9" s="127">
        <f>IF(ISNUMBER(BB9/BA9),BB9/BA9, " - ")</f>
        <v>2.4789665254490125</v>
      </c>
      <c r="BF9" s="127">
        <f>IF(ISNUMBER(BC9/BA9),BC9/BA9, " - ")</f>
        <v>0.54519959424786679</v>
      </c>
      <c r="BG9" s="195">
        <f>IF(ISNUMBER((AY9+AZ9)/BA9),(AY9+AZ9)/BA9," - ")</f>
        <v>3.4661375977086939</v>
      </c>
      <c r="BH9" s="153">
        <v>26</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367</v>
      </c>
      <c r="J10" s="180">
        <v>239</v>
      </c>
      <c r="K10" s="180">
        <v>230</v>
      </c>
      <c r="L10" s="180">
        <v>376</v>
      </c>
      <c r="M10" s="180">
        <v>97</v>
      </c>
      <c r="N10" s="180">
        <v>93</v>
      </c>
      <c r="O10" s="180">
        <v>39</v>
      </c>
      <c r="P10" s="180">
        <v>46</v>
      </c>
      <c r="Q10" s="180">
        <v>24</v>
      </c>
      <c r="R10" s="180">
        <v>290</v>
      </c>
      <c r="S10" s="180">
        <v>337</v>
      </c>
      <c r="T10" s="180">
        <v>269</v>
      </c>
      <c r="U10" s="180">
        <v>228</v>
      </c>
      <c r="V10" s="180">
        <v>378</v>
      </c>
      <c r="W10" s="180">
        <v>99</v>
      </c>
      <c r="X10" s="187">
        <v>105</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6</v>
      </c>
      <c r="AP10" s="154">
        <v>6</v>
      </c>
      <c r="AQ10" s="153">
        <v>6</v>
      </c>
      <c r="AR10" s="154">
        <v>6</v>
      </c>
      <c r="AS10" s="338" t="s">
        <v>757</v>
      </c>
      <c r="AT10" s="191"/>
      <c r="AU10" s="199"/>
      <c r="AV10" s="191"/>
      <c r="AW10" s="199"/>
      <c r="AX10" s="191"/>
      <c r="AY10" s="128">
        <f t="shared" ref="AY10:BC10" si="0">IF(ISNUMBER(S10),S10," - ")</f>
        <v>337</v>
      </c>
      <c r="AZ10" s="129">
        <f t="shared" si="0"/>
        <v>269</v>
      </c>
      <c r="BA10" s="129">
        <f t="shared" si="0"/>
        <v>228</v>
      </c>
      <c r="BB10" s="129">
        <f t="shared" si="0"/>
        <v>378</v>
      </c>
      <c r="BC10" s="125">
        <f t="shared" si="0"/>
        <v>99</v>
      </c>
      <c r="BD10" s="126">
        <f>IF(ISNUMBER(BA10/AZ10),BA10/AZ10," - ")</f>
        <v>0.84758364312267653</v>
      </c>
      <c r="BE10" s="127">
        <f>IF(ISNUMBER(BB10/BA10),BB10/BA10, " - ")</f>
        <v>1.6578947368421053</v>
      </c>
      <c r="BF10" s="127">
        <f>IF(ISNUMBER(BC10/BA10),BC10/BA10, " - ")</f>
        <v>0.43421052631578949</v>
      </c>
      <c r="BG10" s="195">
        <f>IF(ISNUMBER((AY10+AZ10)/BA10),(AY10+AZ10)/BA10," - ")</f>
        <v>2.6578947368421053</v>
      </c>
      <c r="BH10" s="154">
        <v>6</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v>1121</v>
      </c>
      <c r="J11" s="182">
        <v>1362</v>
      </c>
      <c r="K11" s="182">
        <v>1479</v>
      </c>
      <c r="L11" s="182">
        <v>1179</v>
      </c>
      <c r="M11" s="182">
        <v>462</v>
      </c>
      <c r="N11" s="182">
        <v>1249</v>
      </c>
      <c r="O11" s="180">
        <v>535</v>
      </c>
      <c r="P11" s="182">
        <v>138</v>
      </c>
      <c r="Q11" s="182">
        <v>238</v>
      </c>
      <c r="R11" s="182">
        <v>1552</v>
      </c>
      <c r="S11" s="182">
        <v>1567</v>
      </c>
      <c r="T11" s="182">
        <v>1573</v>
      </c>
      <c r="U11" s="182">
        <v>1628</v>
      </c>
      <c r="V11" s="182">
        <v>1512</v>
      </c>
      <c r="W11" s="182">
        <v>628</v>
      </c>
      <c r="X11" s="188">
        <v>1330</v>
      </c>
      <c r="Y11" s="190">
        <v>462</v>
      </c>
      <c r="Z11" s="180">
        <v>889</v>
      </c>
      <c r="AA11" s="180">
        <v>741</v>
      </c>
      <c r="AB11" s="180">
        <v>610</v>
      </c>
      <c r="AC11" s="182">
        <v>0</v>
      </c>
      <c r="AD11" s="182">
        <v>0</v>
      </c>
      <c r="AE11" s="182">
        <v>0</v>
      </c>
      <c r="AF11" s="188">
        <v>0</v>
      </c>
      <c r="AG11" s="201">
        <v>495</v>
      </c>
      <c r="AH11" s="182">
        <v>782</v>
      </c>
      <c r="AI11" s="182">
        <v>732</v>
      </c>
      <c r="AJ11" s="202">
        <v>530</v>
      </c>
      <c r="AK11" s="181">
        <v>0</v>
      </c>
      <c r="AL11" s="182">
        <v>0</v>
      </c>
      <c r="AM11" s="182">
        <v>0</v>
      </c>
      <c r="AN11" s="188">
        <v>0</v>
      </c>
      <c r="AO11" s="258">
        <v>6</v>
      </c>
      <c r="AP11" s="154">
        <v>6</v>
      </c>
      <c r="AQ11" s="154">
        <v>6</v>
      </c>
      <c r="AR11" s="153">
        <v>6</v>
      </c>
      <c r="AS11" s="339" t="s">
        <v>765</v>
      </c>
      <c r="AT11" s="202"/>
      <c r="AU11" s="201"/>
      <c r="AV11" s="202"/>
      <c r="AW11" s="201"/>
      <c r="AX11" s="202"/>
      <c r="AY11" s="126">
        <f t="shared" ref="AY11:BB12" si="1">IF(ISNUMBER(IF(J_V="SI",S11,S11+AG11)),IF(J_V="SI",S11,S11+AG11)," - ")</f>
        <v>2062</v>
      </c>
      <c r="AZ11" s="127">
        <f t="shared" si="1"/>
        <v>2355</v>
      </c>
      <c r="BA11" s="127">
        <f t="shared" si="1"/>
        <v>2360</v>
      </c>
      <c r="BB11" s="127">
        <f t="shared" si="1"/>
        <v>2042</v>
      </c>
      <c r="BC11" s="125">
        <f>IF(ISNUMBER(X11),X11," - ")</f>
        <v>1330</v>
      </c>
      <c r="BD11" s="126">
        <f t="shared" ref="BD11:BD12" si="2">IF(ISNUMBER(BA11/AZ11),BA11/AZ11," - ")</f>
        <v>1.0021231422505308</v>
      </c>
      <c r="BE11" s="127">
        <f t="shared" ref="BE11:BE12" si="3">IF(ISNUMBER(BB11/BA11),BB11/BA11, " - ")</f>
        <v>0.86525423728813555</v>
      </c>
      <c r="BF11" s="127">
        <f t="shared" ref="BF11:BF12" si="4">IF(ISNUMBER(BC11/BA11),BC11/BA11, " - ")</f>
        <v>0.56355932203389836</v>
      </c>
      <c r="BG11" s="195">
        <f t="shared" ref="BG11:BG12" si="5">IF(ISNUMBER((AY11+AZ11)/BA11),(AY11+AZ11)/BA11," - ")</f>
        <v>1.8716101694915255</v>
      </c>
      <c r="BH11" s="154">
        <v>10</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t="s">
        <v>768</v>
      </c>
      <c r="J12" s="182" t="s">
        <v>764</v>
      </c>
      <c r="K12" s="182" t="s">
        <v>806</v>
      </c>
      <c r="L12" s="182" t="s">
        <v>771</v>
      </c>
      <c r="M12" s="182" t="s">
        <v>489</v>
      </c>
      <c r="N12" s="182" t="s">
        <v>504</v>
      </c>
      <c r="O12" s="180" t="s">
        <v>225</v>
      </c>
      <c r="P12" s="182" t="s">
        <v>39</v>
      </c>
      <c r="Q12" s="182" t="s">
        <v>40</v>
      </c>
      <c r="R12" s="182" t="s">
        <v>91</v>
      </c>
      <c r="S12" s="182"/>
      <c r="T12" s="182"/>
      <c r="U12" s="182"/>
      <c r="V12" s="182"/>
      <c r="W12" s="182"/>
      <c r="X12" s="188"/>
      <c r="Y12" s="190" t="s">
        <v>136</v>
      </c>
      <c r="Z12" s="180" t="s">
        <v>137</v>
      </c>
      <c r="AA12" s="180" t="s">
        <v>138</v>
      </c>
      <c r="AB12" s="180" t="s">
        <v>139</v>
      </c>
      <c r="AC12" s="182"/>
      <c r="AD12" s="182"/>
      <c r="AE12" s="182"/>
      <c r="AF12" s="188"/>
      <c r="AG12" s="201"/>
      <c r="AH12" s="182"/>
      <c r="AI12" s="182"/>
      <c r="AJ12" s="202"/>
      <c r="AK12" s="181"/>
      <c r="AL12" s="182"/>
      <c r="AM12" s="182"/>
      <c r="AN12" s="188"/>
      <c r="AO12" s="258">
        <v>0</v>
      </c>
      <c r="AP12" s="154">
        <v>0</v>
      </c>
      <c r="AQ12" s="154">
        <v>0</v>
      </c>
      <c r="AR12" s="153">
        <v>0</v>
      </c>
      <c r="AS12" s="339" t="s">
        <v>766</v>
      </c>
      <c r="AT12" s="202"/>
      <c r="AU12" s="201"/>
      <c r="AV12" s="202"/>
      <c r="AW12" s="201"/>
      <c r="AX12" s="202"/>
      <c r="AY12" s="126">
        <f t="shared" si="1"/>
        <v>0</v>
      </c>
      <c r="AZ12" s="127">
        <f t="shared" si="1"/>
        <v>0</v>
      </c>
      <c r="BA12" s="127">
        <f t="shared" si="1"/>
        <v>0</v>
      </c>
      <c r="BB12" s="127">
        <f t="shared" si="1"/>
        <v>0</v>
      </c>
      <c r="BC12" s="125" t="str">
        <f>IF(ISNUMBER(X12),X12," - ")</f>
        <v xml:space="preserve"> - </v>
      </c>
      <c r="BD12" s="126" t="str">
        <f t="shared" si="2"/>
        <v xml:space="preserve"> - </v>
      </c>
      <c r="BE12" s="127" t="str">
        <f t="shared" si="3"/>
        <v xml:space="preserve"> - </v>
      </c>
      <c r="BF12" s="127" t="str">
        <f t="shared" si="4"/>
        <v xml:space="preserve"> - </v>
      </c>
      <c r="BG12" s="195" t="str">
        <f t="shared" si="5"/>
        <v xml:space="preserve"> - </v>
      </c>
      <c r="BH12" s="154">
        <v>0</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37673</v>
      </c>
      <c r="J13" s="183">
        <f t="shared" si="6"/>
        <v>12747</v>
      </c>
      <c r="K13" s="183">
        <f t="shared" si="6"/>
        <v>13584</v>
      </c>
      <c r="L13" s="183">
        <f t="shared" si="6"/>
        <v>37142</v>
      </c>
      <c r="M13" s="183">
        <f t="shared" si="6"/>
        <v>4158</v>
      </c>
      <c r="N13" s="183">
        <f t="shared" si="6"/>
        <v>7028</v>
      </c>
      <c r="O13" s="183">
        <f t="shared" si="6"/>
        <v>5513</v>
      </c>
      <c r="P13" s="183">
        <f t="shared" si="6"/>
        <v>2324</v>
      </c>
      <c r="Q13" s="183">
        <f t="shared" si="6"/>
        <v>2781</v>
      </c>
      <c r="R13" s="183">
        <f t="shared" si="6"/>
        <v>34625</v>
      </c>
      <c r="S13" s="183">
        <f t="shared" si="6"/>
        <v>43215</v>
      </c>
      <c r="T13" s="183">
        <f t="shared" si="6"/>
        <v>16679</v>
      </c>
      <c r="U13" s="183">
        <f t="shared" si="6"/>
        <v>17717</v>
      </c>
      <c r="V13" s="183">
        <f t="shared" si="6"/>
        <v>42392</v>
      </c>
      <c r="W13" s="183">
        <f t="shared" si="6"/>
        <v>4704</v>
      </c>
      <c r="X13" s="183">
        <f t="shared" si="6"/>
        <v>10572</v>
      </c>
      <c r="Y13" s="183">
        <f t="shared" si="6"/>
        <v>1153</v>
      </c>
      <c r="Z13" s="183">
        <f t="shared" si="6"/>
        <v>1431</v>
      </c>
      <c r="AA13" s="183">
        <f t="shared" si="6"/>
        <v>1416</v>
      </c>
      <c r="AB13" s="183">
        <f t="shared" si="6"/>
        <v>1168</v>
      </c>
      <c r="AC13" s="183">
        <f t="shared" si="6"/>
        <v>0</v>
      </c>
      <c r="AD13" s="183">
        <f t="shared" si="6"/>
        <v>0</v>
      </c>
      <c r="AE13" s="183">
        <f t="shared" si="6"/>
        <v>0</v>
      </c>
      <c r="AF13" s="183">
        <f>SUBTOTAL(9,AF9:AF12)</f>
        <v>0</v>
      </c>
      <c r="AG13" s="183">
        <f t="shared" ref="AG13:AT13" si="7">SUBTOTAL(9,AG8:AG12)</f>
        <v>1178</v>
      </c>
      <c r="AH13" s="183">
        <f t="shared" si="7"/>
        <v>2040</v>
      </c>
      <c r="AI13" s="183">
        <f t="shared" si="7"/>
        <v>1630</v>
      </c>
      <c r="AJ13" s="183">
        <f t="shared" si="7"/>
        <v>1573</v>
      </c>
      <c r="AK13" s="183">
        <f t="shared" si="7"/>
        <v>0</v>
      </c>
      <c r="AL13" s="183">
        <f t="shared" si="7"/>
        <v>0</v>
      </c>
      <c r="AM13" s="183">
        <f t="shared" si="7"/>
        <v>0</v>
      </c>
      <c r="AN13" s="183">
        <f t="shared" si="7"/>
        <v>0</v>
      </c>
      <c r="AO13" s="183">
        <f t="shared" si="7"/>
        <v>36</v>
      </c>
      <c r="AP13" s="183">
        <f t="shared" si="7"/>
        <v>36</v>
      </c>
      <c r="AQ13" s="183">
        <f t="shared" si="7"/>
        <v>36</v>
      </c>
      <c r="AR13" s="183">
        <f t="shared" si="7"/>
        <v>36</v>
      </c>
      <c r="AS13" s="183">
        <f t="shared" si="7"/>
        <v>0</v>
      </c>
      <c r="AT13" s="183">
        <f t="shared" si="7"/>
        <v>0</v>
      </c>
      <c r="AU13" s="203"/>
      <c r="AV13" s="132"/>
      <c r="AW13" s="203"/>
      <c r="AX13" s="132"/>
      <c r="AY13" s="183">
        <f>SUBTOTAL(9,AY8:AY12)</f>
        <v>44393</v>
      </c>
      <c r="AZ13" s="183">
        <f>SUBTOTAL(9,AZ8:AZ12)</f>
        <v>18719</v>
      </c>
      <c r="BA13" s="183">
        <f>SUBTOTAL(9,BA8:BA12)</f>
        <v>19347</v>
      </c>
      <c r="BB13" s="183">
        <f>SUBTOTAL(9,BB8:BB12)</f>
        <v>43965</v>
      </c>
      <c r="BC13" s="183">
        <f>SUBTOTAL(9,BC8:BC12)</f>
        <v>10566</v>
      </c>
      <c r="BD13" s="204">
        <f>IF(ISNUMBER(BA13/AZ13),BA13/AZ13," - ")</f>
        <v>1.0335488006837972</v>
      </c>
      <c r="BE13" s="205">
        <f>IF(ISNUMBER(BB13/BA13),BB13/BA13, " - ")</f>
        <v>2.2724453403628471</v>
      </c>
      <c r="BF13" s="205">
        <f>IF(ISNUMBER(BC13/BA13),BC13/BA13, " - ")</f>
        <v>0.54613118312916731</v>
      </c>
      <c r="BG13" s="206">
        <f>IF(ISNUMBER((AY13+AZ13)/BA13),(AY13+AZ13)/BA13," - ")</f>
        <v>3.262107820333902</v>
      </c>
      <c r="BH13" s="139">
        <f>SUBTOTAL(9,BH8:BH12)</f>
        <v>42</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v>13562</v>
      </c>
      <c r="J15" s="182">
        <v>14780</v>
      </c>
      <c r="K15" s="182">
        <v>14614</v>
      </c>
      <c r="L15" s="182">
        <v>14066</v>
      </c>
      <c r="M15" s="182">
        <v>1978</v>
      </c>
      <c r="N15" s="182">
        <v>8535</v>
      </c>
      <c r="O15" s="180">
        <v>385</v>
      </c>
      <c r="P15" s="182">
        <v>900</v>
      </c>
      <c r="Q15" s="182">
        <v>1039</v>
      </c>
      <c r="R15" s="182">
        <v>1846</v>
      </c>
      <c r="S15" s="182">
        <v>11394</v>
      </c>
      <c r="T15" s="182">
        <v>14928</v>
      </c>
      <c r="U15" s="182">
        <v>14707</v>
      </c>
      <c r="V15" s="182">
        <v>11819</v>
      </c>
      <c r="W15" s="182">
        <v>2156</v>
      </c>
      <c r="X15" s="188">
        <v>8353</v>
      </c>
      <c r="Y15" s="201">
        <v>0</v>
      </c>
      <c r="Z15" s="182">
        <v>0</v>
      </c>
      <c r="AA15" s="182">
        <v>0</v>
      </c>
      <c r="AB15" s="182">
        <v>0</v>
      </c>
      <c r="AC15" s="182">
        <v>0</v>
      </c>
      <c r="AD15" s="182">
        <v>61</v>
      </c>
      <c r="AE15" s="182">
        <v>61</v>
      </c>
      <c r="AF15" s="188">
        <v>0</v>
      </c>
      <c r="AG15" s="201">
        <v>0</v>
      </c>
      <c r="AH15" s="182">
        <v>0</v>
      </c>
      <c r="AI15" s="182">
        <v>0</v>
      </c>
      <c r="AJ15" s="202">
        <v>0</v>
      </c>
      <c r="AK15" s="181">
        <v>2</v>
      </c>
      <c r="AL15" s="182">
        <v>64</v>
      </c>
      <c r="AM15" s="182">
        <v>63</v>
      </c>
      <c r="AN15" s="188">
        <v>3</v>
      </c>
      <c r="AO15" s="258">
        <v>21</v>
      </c>
      <c r="AP15" s="154">
        <v>21</v>
      </c>
      <c r="AQ15" s="154">
        <v>21</v>
      </c>
      <c r="AR15" s="154">
        <v>21</v>
      </c>
      <c r="AS15" s="339" t="s">
        <v>520</v>
      </c>
      <c r="AT15" s="202" t="s">
        <v>327</v>
      </c>
      <c r="AU15" s="201"/>
      <c r="AV15" s="202"/>
      <c r="AW15" s="201"/>
      <c r="AX15" s="202"/>
      <c r="AY15" s="128">
        <f t="shared" ref="AY15:BB17" si="9">IF(ISNUMBER(IF(D_I="SI",S15,S15+AK15)),IF(D_I="SI",S15,S15+AK15)," - ")</f>
        <v>11394</v>
      </c>
      <c r="AZ15" s="129">
        <f t="shared" si="9"/>
        <v>14928</v>
      </c>
      <c r="BA15" s="129">
        <f t="shared" si="9"/>
        <v>14707</v>
      </c>
      <c r="BB15" s="129">
        <f t="shared" si="9"/>
        <v>11819</v>
      </c>
      <c r="BC15" s="125">
        <f>IF(ISNUMBER(W15),W15," - ")</f>
        <v>2156</v>
      </c>
      <c r="BD15" s="126">
        <f>IF(ISNUMBER(BA15/AZ15),BA15/AZ15," - ")</f>
        <v>0.98519560557341912</v>
      </c>
      <c r="BE15" s="127">
        <f>IF(ISNUMBER(BB15/BA15),BB15/BA15, " - ")</f>
        <v>0.80363092404977221</v>
      </c>
      <c r="BF15" s="127">
        <f>IF(ISNUMBER(BC15/BA15),BC15/BA15, " - ")</f>
        <v>0.14659685863874344</v>
      </c>
      <c r="BG15" s="195">
        <f t="shared" ref="BG15:BG17" si="10">IF(ISNUMBER((AY15+AZ15)/BA15),(AY15+AZ15)/BA15," - ")</f>
        <v>1.7897599782416536</v>
      </c>
      <c r="BH15" s="154">
        <v>21</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t="s">
        <v>487</v>
      </c>
      <c r="J17" s="182" t="s">
        <v>483</v>
      </c>
      <c r="K17" s="182" t="s">
        <v>484</v>
      </c>
      <c r="L17" s="182" t="s">
        <v>485</v>
      </c>
      <c r="M17" s="182" t="s">
        <v>490</v>
      </c>
      <c r="N17" s="182" t="s">
        <v>151</v>
      </c>
      <c r="O17" s="180" t="s">
        <v>226</v>
      </c>
      <c r="P17" s="182" t="s">
        <v>471</v>
      </c>
      <c r="Q17" s="182" t="s">
        <v>472</v>
      </c>
      <c r="R17" s="182" t="s">
        <v>473</v>
      </c>
      <c r="S17" s="182"/>
      <c r="T17" s="182"/>
      <c r="U17" s="182"/>
      <c r="V17" s="182"/>
      <c r="W17" s="182"/>
      <c r="X17" s="188"/>
      <c r="Y17" s="201"/>
      <c r="Z17" s="182"/>
      <c r="AA17" s="182"/>
      <c r="AB17" s="182"/>
      <c r="AC17" s="182" t="s">
        <v>44</v>
      </c>
      <c r="AD17" s="182" t="s">
        <v>48</v>
      </c>
      <c r="AE17" s="182" t="s">
        <v>49</v>
      </c>
      <c r="AF17" s="188" t="s">
        <v>50</v>
      </c>
      <c r="AG17" s="201"/>
      <c r="AH17" s="182"/>
      <c r="AI17" s="182"/>
      <c r="AJ17" s="202"/>
      <c r="AK17" s="181"/>
      <c r="AL17" s="182"/>
      <c r="AM17" s="182"/>
      <c r="AN17" s="188"/>
      <c r="AO17" s="258">
        <v>0</v>
      </c>
      <c r="AP17" s="154">
        <v>0</v>
      </c>
      <c r="AQ17" s="154">
        <v>0</v>
      </c>
      <c r="AR17" s="154">
        <v>0</v>
      </c>
      <c r="AS17" s="339" t="s">
        <v>486</v>
      </c>
      <c r="AT17" s="202"/>
      <c r="AU17" s="201"/>
      <c r="AV17" s="202"/>
      <c r="AW17" s="201"/>
      <c r="AX17" s="202"/>
      <c r="AY17" s="126" t="str">
        <f t="shared" si="9"/>
        <v xml:space="preserve"> - </v>
      </c>
      <c r="AZ17" s="127" t="str">
        <f t="shared" si="9"/>
        <v xml:space="preserve"> - </v>
      </c>
      <c r="BA17" s="127" t="str">
        <f t="shared" si="9"/>
        <v xml:space="preserve"> - </v>
      </c>
      <c r="BB17" s="127" t="str">
        <f t="shared" si="9"/>
        <v xml:space="preserve"> - </v>
      </c>
      <c r="BC17" s="125" t="str">
        <f>IF(ISNUMBER(W17),W17," - ")</f>
        <v xml:space="preserve"> - </v>
      </c>
      <c r="BD17" s="126" t="str">
        <f t="shared" ref="BD17" si="16">IF(ISNUMBER(BA17/AZ17),BA17/AZ17," - ")</f>
        <v xml:space="preserve"> - </v>
      </c>
      <c r="BE17" s="127" t="str">
        <f t="shared" ref="BE17" si="17">IF(ISNUMBER(BB17/BA17),BB17/BA17, " - ")</f>
        <v xml:space="preserve"> - </v>
      </c>
      <c r="BF17" s="127" t="str">
        <f t="shared" ref="BF17" si="18">IF(ISNUMBER(BC17/BA17),BC17/BA17, " - ")</f>
        <v xml:space="preserve"> - </v>
      </c>
      <c r="BG17" s="195" t="str">
        <f t="shared" si="10"/>
        <v xml:space="preserve"> - </v>
      </c>
      <c r="BH17" s="154">
        <v>0</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1364</v>
      </c>
      <c r="J18" s="182">
        <v>2145</v>
      </c>
      <c r="K18" s="182">
        <v>1711</v>
      </c>
      <c r="L18" s="182">
        <v>1778</v>
      </c>
      <c r="M18" s="182">
        <v>102</v>
      </c>
      <c r="N18" s="182">
        <v>1059</v>
      </c>
      <c r="O18" s="182">
        <v>14</v>
      </c>
      <c r="P18" s="182">
        <v>20</v>
      </c>
      <c r="Q18" s="182">
        <v>27</v>
      </c>
      <c r="R18" s="182">
        <v>30</v>
      </c>
      <c r="S18" s="182">
        <v>1386</v>
      </c>
      <c r="T18" s="182">
        <v>1960</v>
      </c>
      <c r="U18" s="182">
        <v>1959</v>
      </c>
      <c r="V18" s="182">
        <v>1389</v>
      </c>
      <c r="W18" s="182">
        <v>110</v>
      </c>
      <c r="X18" s="188">
        <v>1285</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6</v>
      </c>
      <c r="AP18" s="154">
        <v>6</v>
      </c>
      <c r="AQ18" s="153">
        <v>6</v>
      </c>
      <c r="AR18" s="154">
        <v>6</v>
      </c>
      <c r="AS18" s="338" t="s">
        <v>879</v>
      </c>
      <c r="AT18" s="208"/>
      <c r="AU18" s="199"/>
      <c r="AV18" s="208"/>
      <c r="AW18" s="199"/>
      <c r="AX18" s="208"/>
      <c r="AY18" s="128">
        <f t="shared" ref="AY18:BB18" si="19">IF(ISNUMBER(S18),S18," - ")</f>
        <v>1386</v>
      </c>
      <c r="AZ18" s="129">
        <f t="shared" si="19"/>
        <v>1960</v>
      </c>
      <c r="BA18" s="129">
        <f t="shared" si="19"/>
        <v>1959</v>
      </c>
      <c r="BB18" s="129">
        <f t="shared" si="19"/>
        <v>1389</v>
      </c>
      <c r="BC18" s="125">
        <f>IF(ISNUMBER(W18),W18," - ")</f>
        <v>110</v>
      </c>
      <c r="BD18" s="126">
        <f>IF(ISNUMBER(BA18/AZ18),BA18/AZ18," - ")</f>
        <v>0.9994897959183674</v>
      </c>
      <c r="BE18" s="127">
        <f>IF(ISNUMBER(BB18/BA18),BB18/BA18, " - ")</f>
        <v>0.70903522205206737</v>
      </c>
      <c r="BF18" s="127">
        <f>IF(ISNUMBER(BC18/BA18),BC18/BA18, " - ")</f>
        <v>5.6151097498723837E-2</v>
      </c>
      <c r="BG18" s="195">
        <f>IF(ISNUMBER((AY18+AZ18)/BA18),(AY18+AZ18)/BA18," - ")</f>
        <v>1.708014293006636</v>
      </c>
      <c r="BH18" s="154">
        <v>6</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14926</v>
      </c>
      <c r="J19" s="183">
        <f t="shared" si="20"/>
        <v>16925</v>
      </c>
      <c r="K19" s="183">
        <f t="shared" si="20"/>
        <v>16325</v>
      </c>
      <c r="L19" s="183">
        <f t="shared" si="20"/>
        <v>15844</v>
      </c>
      <c r="M19" s="183">
        <f t="shared" si="20"/>
        <v>2080</v>
      </c>
      <c r="N19" s="183">
        <f t="shared" si="20"/>
        <v>9594</v>
      </c>
      <c r="O19" s="183">
        <f t="shared" si="20"/>
        <v>399</v>
      </c>
      <c r="P19" s="183">
        <f t="shared" si="20"/>
        <v>920</v>
      </c>
      <c r="Q19" s="183">
        <f t="shared" si="20"/>
        <v>1066</v>
      </c>
      <c r="R19" s="183">
        <f t="shared" si="20"/>
        <v>1876</v>
      </c>
      <c r="S19" s="183">
        <f t="shared" si="20"/>
        <v>12780</v>
      </c>
      <c r="T19" s="183">
        <f t="shared" si="20"/>
        <v>16888</v>
      </c>
      <c r="U19" s="183">
        <f t="shared" si="20"/>
        <v>16666</v>
      </c>
      <c r="V19" s="183">
        <f t="shared" si="20"/>
        <v>13208</v>
      </c>
      <c r="W19" s="183">
        <f t="shared" si="20"/>
        <v>2266</v>
      </c>
      <c r="X19" s="183">
        <f t="shared" si="20"/>
        <v>9638</v>
      </c>
      <c r="Y19" s="183">
        <f t="shared" si="20"/>
        <v>0</v>
      </c>
      <c r="Z19" s="183">
        <f t="shared" si="20"/>
        <v>0</v>
      </c>
      <c r="AA19" s="183">
        <f t="shared" si="20"/>
        <v>0</v>
      </c>
      <c r="AB19" s="183">
        <f t="shared" si="20"/>
        <v>0</v>
      </c>
      <c r="AC19" s="183">
        <f t="shared" si="20"/>
        <v>0</v>
      </c>
      <c r="AD19" s="183">
        <f t="shared" si="20"/>
        <v>61</v>
      </c>
      <c r="AE19" s="183">
        <f t="shared" si="20"/>
        <v>61</v>
      </c>
      <c r="AF19" s="183">
        <f t="shared" si="20"/>
        <v>0</v>
      </c>
      <c r="AG19" s="183">
        <f t="shared" si="20"/>
        <v>0</v>
      </c>
      <c r="AH19" s="183">
        <f t="shared" si="20"/>
        <v>0</v>
      </c>
      <c r="AI19" s="183">
        <f t="shared" si="20"/>
        <v>0</v>
      </c>
      <c r="AJ19" s="183">
        <f t="shared" si="20"/>
        <v>0</v>
      </c>
      <c r="AK19" s="183">
        <f t="shared" si="20"/>
        <v>2</v>
      </c>
      <c r="AL19" s="183">
        <f t="shared" si="20"/>
        <v>64</v>
      </c>
      <c r="AM19" s="183">
        <f t="shared" si="20"/>
        <v>63</v>
      </c>
      <c r="AN19" s="183">
        <f t="shared" si="20"/>
        <v>3</v>
      </c>
      <c r="AO19" s="183">
        <f t="shared" si="20"/>
        <v>27</v>
      </c>
      <c r="AP19" s="183">
        <f t="shared" si="20"/>
        <v>27</v>
      </c>
      <c r="AQ19" s="183">
        <f t="shared" si="20"/>
        <v>27</v>
      </c>
      <c r="AR19" s="183">
        <f t="shared" si="20"/>
        <v>27</v>
      </c>
      <c r="AS19" s="183">
        <f t="shared" si="20"/>
        <v>0</v>
      </c>
      <c r="AT19" s="183">
        <f t="shared" si="20"/>
        <v>0</v>
      </c>
      <c r="AU19" s="203"/>
      <c r="AV19" s="132"/>
      <c r="AW19" s="203"/>
      <c r="AX19" s="132"/>
      <c r="AY19" s="183">
        <f>SUBTOTAL(9,AY14:AY18)</f>
        <v>12780</v>
      </c>
      <c r="AZ19" s="183">
        <f>SUBTOTAL(9,AZ14:AZ18)</f>
        <v>16888</v>
      </c>
      <c r="BA19" s="183">
        <f>SUBTOTAL(9,BA14:BA18)</f>
        <v>16666</v>
      </c>
      <c r="BB19" s="183">
        <f>SUBTOTAL(9,BB14:BB18)</f>
        <v>13208</v>
      </c>
      <c r="BC19" s="183">
        <f>SUBTOTAL(9,BC14:BC18)</f>
        <v>2266</v>
      </c>
      <c r="BD19" s="204">
        <f>IF(ISNUMBER(BA19/AZ19),BA19/AZ19," - ")</f>
        <v>0.98685457129322596</v>
      </c>
      <c r="BE19" s="205">
        <f>IF(ISNUMBER(BB19/BA19),BB19/BA19, " - ")</f>
        <v>0.79251170046801878</v>
      </c>
      <c r="BF19" s="205">
        <f>IF(ISNUMBER(BC19/BA19),BC19/BA19, " - ")</f>
        <v>0.1359654386175447</v>
      </c>
      <c r="BG19" s="206">
        <f>IF(ISNUMBER((AY19+AZ19)/BA19),(AY19+AZ19)/BA19," - ")</f>
        <v>1.7801512060482418</v>
      </c>
      <c r="BH19" s="183">
        <f>SUBTOTAL(9,BH14:BH18)</f>
        <v>27</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52599</v>
      </c>
      <c r="J20" s="134">
        <f t="shared" si="23"/>
        <v>29672</v>
      </c>
      <c r="K20" s="134">
        <f t="shared" si="23"/>
        <v>29909</v>
      </c>
      <c r="L20" s="134">
        <f t="shared" si="23"/>
        <v>52986</v>
      </c>
      <c r="M20" s="134">
        <f t="shared" si="23"/>
        <v>6238</v>
      </c>
      <c r="N20" s="134">
        <f t="shared" si="23"/>
        <v>16622</v>
      </c>
      <c r="O20" s="134">
        <f t="shared" si="23"/>
        <v>5912</v>
      </c>
      <c r="P20" s="134">
        <f t="shared" si="23"/>
        <v>3244</v>
      </c>
      <c r="Q20" s="134">
        <f t="shared" si="23"/>
        <v>3847</v>
      </c>
      <c r="R20" s="134">
        <f t="shared" si="23"/>
        <v>36501</v>
      </c>
      <c r="S20" s="134">
        <f t="shared" si="23"/>
        <v>55995</v>
      </c>
      <c r="T20" s="134">
        <f t="shared" si="23"/>
        <v>33567</v>
      </c>
      <c r="U20" s="134">
        <f t="shared" si="23"/>
        <v>34383</v>
      </c>
      <c r="V20" s="134">
        <f t="shared" si="23"/>
        <v>55600</v>
      </c>
      <c r="W20" s="134">
        <f t="shared" si="23"/>
        <v>6970</v>
      </c>
      <c r="X20" s="134">
        <f t="shared" si="23"/>
        <v>20210</v>
      </c>
      <c r="Y20" s="134">
        <f t="shared" si="23"/>
        <v>1153</v>
      </c>
      <c r="Z20" s="134">
        <f t="shared" si="23"/>
        <v>1431</v>
      </c>
      <c r="AA20" s="134">
        <f t="shared" si="23"/>
        <v>1416</v>
      </c>
      <c r="AB20" s="134">
        <f t="shared" si="23"/>
        <v>1168</v>
      </c>
      <c r="AC20" s="134">
        <f t="shared" si="23"/>
        <v>0</v>
      </c>
      <c r="AD20" s="134">
        <f t="shared" si="23"/>
        <v>61</v>
      </c>
      <c r="AE20" s="134">
        <f t="shared" si="23"/>
        <v>61</v>
      </c>
      <c r="AF20" s="134">
        <f t="shared" si="23"/>
        <v>0</v>
      </c>
      <c r="AG20" s="134">
        <f t="shared" si="23"/>
        <v>1178</v>
      </c>
      <c r="AH20" s="134">
        <f t="shared" si="23"/>
        <v>2040</v>
      </c>
      <c r="AI20" s="134">
        <f t="shared" si="23"/>
        <v>1630</v>
      </c>
      <c r="AJ20" s="134">
        <f t="shared" si="23"/>
        <v>1573</v>
      </c>
      <c r="AK20" s="134">
        <f t="shared" si="23"/>
        <v>2</v>
      </c>
      <c r="AL20" s="134">
        <f t="shared" si="23"/>
        <v>64</v>
      </c>
      <c r="AM20" s="134">
        <f t="shared" si="23"/>
        <v>63</v>
      </c>
      <c r="AN20" s="209">
        <f t="shared" si="23"/>
        <v>3</v>
      </c>
      <c r="AO20" s="210">
        <v>57</v>
      </c>
      <c r="AP20" s="210">
        <v>57</v>
      </c>
      <c r="AQ20" s="210">
        <v>57</v>
      </c>
      <c r="AR20" s="210">
        <v>57</v>
      </c>
      <c r="AS20" s="152">
        <f t="shared" si="23"/>
        <v>0</v>
      </c>
      <c r="AT20" s="152">
        <f t="shared" si="23"/>
        <v>0</v>
      </c>
      <c r="AU20" s="210"/>
      <c r="AV20" s="211"/>
      <c r="AW20" s="210"/>
      <c r="AX20" s="211"/>
      <c r="AY20" s="133">
        <f>SUBTOTAL(9,AY9:AY19)</f>
        <v>57173</v>
      </c>
      <c r="AZ20" s="134">
        <f>SUBTOTAL(9,AZ9:AZ19)</f>
        <v>35607</v>
      </c>
      <c r="BA20" s="134">
        <f>SUBTOTAL(9,BA9:BA19)</f>
        <v>36013</v>
      </c>
      <c r="BB20" s="134">
        <f>SUBTOTAL(9,BB9:BB19)</f>
        <v>57173</v>
      </c>
      <c r="BC20" s="135">
        <f>SUBTOTAL(9,BC9:BC19)</f>
        <v>12832</v>
      </c>
      <c r="BD20" s="212">
        <f>IF(ISNUMBER(BA20/AZ20),BA20/AZ20," - ")</f>
        <v>1.0114022523661077</v>
      </c>
      <c r="BE20" s="209">
        <f>IF(ISNUMBER(BB20/BA20),BB20/BA20, " - ")</f>
        <v>1.5875656013106378</v>
      </c>
      <c r="BF20" s="209">
        <f>IF(ISNUMBER(BC20/BA20),BC20/BA20, " - ")</f>
        <v>0.35631577485907867</v>
      </c>
      <c r="BG20" s="135">
        <f>IF(ISNUMBER((AY20+AZ20)/BA20),(AY20+AZ20)/BA20," - ")</f>
        <v>2.5762918945936191</v>
      </c>
      <c r="BH20" s="210">
        <f>SUBTOTAL(9,BH9:BH19)</f>
        <v>69</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b5Gb+9i29r4cR+hLvYs16jdPIQIQyB0aneYRWNcmrEFUvMCPOBalf+YGmzLw+VttNLqBbW1FfsG/tHsf2sgjrw==" saltValue="oCdgH1jGShv2u8wc8dunIw=="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COMUNIDAD VALENCIANA</v>
      </c>
    </row>
    <row r="4" spans="1:156" ht="13.5" thickBot="1">
      <c r="A4" t="str">
        <f>Criterios!A10</f>
        <v>Provincias</v>
      </c>
      <c r="B4" t="str">
        <f>Criterios!B10</f>
        <v>VALENCIA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AaJfuF9AM7FHpvYTUvCD7fIETVtrCTE45kF8uOZ4fjuotFRG2tFXUGA0qCE4h63DUHJvJ9KhKrAts721+6soSg==" saltValue="vSnYsVfr0AA9K7A9tskQbw=="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COMUNIDAD VALENCIANA</v>
      </c>
    </row>
    <row r="2" spans="1:78" ht="16.5" customHeight="1">
      <c r="C2" s="487" t="str">
        <f>Criterios!A10 &amp;"  "&amp;Criterios!B10 &amp; "  " &amp; IF(NOT(ISBLANK(Criterios!A11)),Criterios!A11 &amp;"  "&amp;Criterios!B11,"")</f>
        <v>Provincias  VALENCIA  Resumenes por Partidos Judiciales  VALENCIA</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24</v>
      </c>
      <c r="B9" s="500" t="s">
        <v>247</v>
      </c>
      <c r="C9" s="159" t="str">
        <f>Datos!A9</f>
        <v>Sección Civil del T.I</v>
      </c>
      <c r="D9" s="501"/>
      <c r="E9" s="259">
        <f>IF(ISNUMBER(Datos!AQ9),Datos!AQ9," - ")</f>
        <v>24</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f>IF(ISNUMBER(Datos!Z9),Datos!Z9," - ")</f>
        <v>542</v>
      </c>
      <c r="O9" s="333"/>
      <c r="P9" s="333"/>
      <c r="Q9" s="225">
        <f>IF(ISNUMBER(Datos!P9),Datos!P9,0)</f>
        <v>2140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f>IF(ISNUMBER(Datos!Q9),Datos!Q9," - ")</f>
        <v>2519</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f>IF(ISNUMBER(Datos!AB9),Datos!AB9,"-")</f>
        <v>558</v>
      </c>
      <c r="AI9" s="333" t="str">
        <f>IF(ISNUMBER(Datos!CD9),Datos!CD9,"-")</f>
        <v>-</v>
      </c>
      <c r="AJ9" s="333" t="str">
        <f>IF(ISNUMBER(Datos!EN9),Datos!EN9," - ")</f>
        <v xml:space="preserve"> - </v>
      </c>
      <c r="AK9" s="333"/>
      <c r="AL9" s="478"/>
      <c r="AM9" s="334">
        <f>IF(ISNUMBER(Datos!R9),Datos!R9," - ")</f>
        <v>32783</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f>IF(ISNUMBER(Datos!M9),Datos!M9," - ")</f>
        <v>3599</v>
      </c>
      <c r="BD9" s="228">
        <f>IF(ISNUMBER(Datos!N9),Datos!N9," - ")</f>
        <v>5686</v>
      </c>
      <c r="BE9" s="228" t="str">
        <f>IF(ISNUMBER(Datos!BW9),Datos!BW9," - ")</f>
        <v xml:space="preserve"> - </v>
      </c>
      <c r="BF9" s="227" t="str">
        <f>IF(ISNUMBER(Datos!BX9),Datos!BX9," - ")</f>
        <v xml:space="preserve"> - </v>
      </c>
      <c r="BG9" s="242">
        <f>IF(ISNUMBER(IF(J_V="SI",Datos!K9/Datos!J9,(Datos!K9+Datos!AA9)/(Datos!J9+Datos!Z9))),IF(J_V="SI",Datos!K9/Datos!J9,(Datos!K9+Datos!AA9)/(Datos!J9+Datos!Z9))," - ")</f>
        <v>1.073750855578371</v>
      </c>
      <c r="BH9" s="259">
        <f>IF(ISNUMBER(((IF(J_V="SI",Datos!L9/Datos!K9,(Datos!L9+Datos!AB9)/(Datos!K9+Datos!AA9)))*11)/factor_trimestre),((IF(J_V="SI",Datos!L9/Datos!K9,(Datos!L9+Datos!AB9)/(Datos!K9+Datos!AA9)))*11)/factor_trimestre," - ")</f>
        <v>8.6402390438247014</v>
      </c>
      <c r="BI9" s="242"/>
      <c r="BJ9" s="229" t="str">
        <f>IF(ISNUMBER(Datos!CI9/Datos!CJ9),Datos!CI9/Datos!CJ9," - ")</f>
        <v xml:space="preserve"> - </v>
      </c>
      <c r="BK9" s="359" t="str">
        <f>IF(ISNUMBER(Datos!CJ9),Datos!CJ9," - ")</f>
        <v xml:space="preserve"> - </v>
      </c>
      <c r="BL9" s="229" t="str">
        <f>IF(ISNUMBER((J9-AB9+L9)/(F9)),(J9-AB9+L9)/(F9)," - ")</f>
        <v xml:space="preserve"> - </v>
      </c>
      <c r="BM9" s="609">
        <f>IF(ISNUMBER((Datos!P9-Datos!Q9+Datos!DE9)/(Datos!R9-Datos!P9+Datos!Q9-Datos!DE9)),(Datos!P9-Datos!Q9+Datos!DE9)/(Datos!R9-Datos!P9+Datos!Q9-Datos!DE9)," - ")</f>
        <v>-1.1428743742838188E-2</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6</v>
      </c>
      <c r="B10" s="506" t="s">
        <v>247</v>
      </c>
      <c r="C10" s="7" t="str">
        <f>Datos!A10</f>
        <v>Sección De Violencia sobre la Mujer del TI</v>
      </c>
      <c r="D10" s="507"/>
      <c r="E10" s="259">
        <f>IF(ISNUMBER(Datos!AQ10),Datos!AQ10," - ")</f>
        <v>6</v>
      </c>
      <c r="F10" s="224">
        <f>IF(ISNUMBER(Datos!L10+Datos!K10-Datos!J10),Datos!L10+Datos!K10-Datos!J10," - ")</f>
        <v>367</v>
      </c>
      <c r="G10" s="332">
        <f>IF(ISNUMBER(Datos!I10),Datos!I10," - ")</f>
        <v>367</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46</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230</v>
      </c>
      <c r="AC10" s="225">
        <f>IF(ISNUMBER(Datos!Q10),Datos!Q10," - ")</f>
        <v>24</v>
      </c>
      <c r="AD10" s="333"/>
      <c r="AE10" s="483"/>
      <c r="AF10" s="331">
        <f>IF(ISNUMBER(Datos!L10),Datos!L10,"-")</f>
        <v>376</v>
      </c>
      <c r="AG10" s="333"/>
      <c r="AH10" s="333"/>
      <c r="AI10" s="333"/>
      <c r="AJ10" s="333"/>
      <c r="AK10" s="333"/>
      <c r="AL10" s="478"/>
      <c r="AM10" s="334">
        <f>IF(ISNUMBER(Datos!R10),Datos!R10," - ")</f>
        <v>290</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97</v>
      </c>
      <c r="BD10" s="228">
        <f>IF(ISNUMBER(Datos!N10),Datos!N10," - ")</f>
        <v>93</v>
      </c>
      <c r="BE10" s="228" t="str">
        <f>IF(ISNUMBER(Datos!BW10),Datos!BW10," - ")</f>
        <v xml:space="preserve"> - </v>
      </c>
      <c r="BF10" s="227" t="str">
        <f>IF(ISNUMBER(Datos!BX10),Datos!BX10," - ")</f>
        <v xml:space="preserve"> - </v>
      </c>
      <c r="BG10" s="242">
        <f>IF(ISNUMBER(Datos!K10/Datos!J10),Datos!K10/Datos!J10," - ")</f>
        <v>0.96234309623430958</v>
      </c>
      <c r="BH10" s="259">
        <f>IF(ISNUMBER(((Datos!L10/Datos!K10)*11)/factor_trimestre),((Datos!L10/Datos!K10)*11)/factor_trimestre," - ")</f>
        <v>4.9043478260869566</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8.2089552238805971E-2</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6</v>
      </c>
      <c r="B11" s="506" t="s">
        <v>247</v>
      </c>
      <c r="C11" s="7" t="str">
        <f>Datos!A11</f>
        <v xml:space="preserve">Sección de Familia, infancia y capacidad del TI                           </v>
      </c>
      <c r="D11" s="507"/>
      <c r="E11" s="259">
        <f>IF(ISNUMBER(Datos!AQ11),Datos!AQ11," - ")</f>
        <v>6</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f>IF(ISNUMBER(Datos!Z11),Datos!Z11," - ")</f>
        <v>889</v>
      </c>
      <c r="O11" s="333"/>
      <c r="P11" s="333"/>
      <c r="Q11" s="225">
        <f>IF(ISNUMBER(Datos!P11),Datos!P11,0)</f>
        <v>138</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f>IF(ISNUMBER(Datos!Q11),Datos!Q11," - ")</f>
        <v>238</v>
      </c>
      <c r="AD11" s="333"/>
      <c r="AE11" s="483"/>
      <c r="AF11" s="331" t="str">
        <f>IF(ISNUMBER(IF(J_V="SI",Datos!L11,Datos!L11+Datos!AB11)-IF(Monitorios="SI",Datos!CD11,0)),
                          IF(J_V="SI",Datos!L11,Datos!L11+Datos!AB11)-IF(Monitorios="SI",Datos!CD11,0),
                          " - ")</f>
        <v xml:space="preserve"> - </v>
      </c>
      <c r="AG11" s="333"/>
      <c r="AH11" s="333">
        <f>IF(ISNUMBER(Datos!AB11),Datos!AB11,"-")</f>
        <v>610</v>
      </c>
      <c r="AI11" s="333"/>
      <c r="AJ11" s="333"/>
      <c r="AK11" s="333"/>
      <c r="AL11" s="478"/>
      <c r="AM11" s="334">
        <f>IF(ISNUMBER(Datos!R11),Datos!R11," - ")</f>
        <v>1552</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f>IF(ISNUMBER(Datos!M11),Datos!M11," - ")</f>
        <v>462</v>
      </c>
      <c r="BD11" s="228">
        <f>IF(ISNUMBER(Datos!N11),Datos!N11," - ")</f>
        <v>1249</v>
      </c>
      <c r="BE11" s="228" t="str">
        <f>IF(ISNUMBER(Datos!BW11),Datos!BW11," - ")</f>
        <v xml:space="preserve"> - </v>
      </c>
      <c r="BF11" s="227" t="str">
        <f>IF(ISNUMBER(Datos!BX11),Datos!BX11," - ")</f>
        <v xml:space="preserve"> - </v>
      </c>
      <c r="BG11" s="242">
        <f>IF(ISNUMBER(IF(J_V="SI",Datos!K11/Datos!J11,(Datos!K11+Datos!AA11)/(Datos!J11+Datos!Z11))),IF(J_V="SI",Datos!K11/Datos!J11,(Datos!K11+Datos!AA11)/(Datos!J11+Datos!Z11))," - ")</f>
        <v>0.986228342958685</v>
      </c>
      <c r="BH11" s="259">
        <f>IF(ISNUMBER(((IF(J_V="SI",Datos!L11/Datos!K11,(Datos!L11+Datos!AB11)/(Datos!K11+Datos!AA11)))*11)/factor_trimestre),((IF(J_V="SI",Datos!L11/Datos!K11,(Datos!L11+Datos!AB11)/(Datos!K11+Datos!AA11)))*11)/factor_trimestre," - ")</f>
        <v>2.4175675675675676</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f>IF(ISNUMBER((Datos!P11-Datos!Q11+Datos!DE11)/(Datos!R11-Datos!P11+Datos!Q11-Datos!DE11)),(Datos!P11-Datos!Q11+Datos!DE11)/(Datos!R11-Datos!P11+Datos!Q11-Datos!DE11)," - ")</f>
        <v>-6.0532687651331719E-2</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0</v>
      </c>
      <c r="B12" s="506" t="s">
        <v>247</v>
      </c>
      <c r="C12" s="7" t="str">
        <f>Datos!A12</f>
        <v xml:space="preserve">Sección Civil y de Instrucción del T.I.       </v>
      </c>
      <c r="D12" s="507"/>
      <c r="E12" s="259">
        <f>IF(ISNUMBER(Datos!AQ12),Datos!AQ12," - ")</f>
        <v>0</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t="str">
        <f>IF(ISNUMBER(Datos!Z12),Datos!Z12," - ")</f>
        <v xml:space="preserve"> - </v>
      </c>
      <c r="O12" s="333"/>
      <c r="P12" s="333"/>
      <c r="Q12" s="225">
        <f>IF(ISNUMBER(Datos!P12),Datos!P12,0)</f>
        <v>0</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t="str">
        <f>IF(ISNUMBER(Datos!Q12),Datos!Q12," - ")</f>
        <v xml:space="preserve"> - </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t="str">
        <f>IF(ISNUMBER(Datos!AB12),Datos!AB12,"-")</f>
        <v>-</v>
      </c>
      <c r="AI12" s="333" t="str">
        <f>IF(ISNUMBER(Datos!CD12),Datos!CD12,"-")</f>
        <v>-</v>
      </c>
      <c r="AJ12" s="333" t="str">
        <f>IF(ISNUMBER(Datos!EN12),Datos!EN12," - ")</f>
        <v xml:space="preserve"> - </v>
      </c>
      <c r="AK12" s="333"/>
      <c r="AL12" s="478"/>
      <c r="AM12" s="334" t="str">
        <f>IF(ISNUMBER(Datos!R12),Datos!R12," - ")</f>
        <v xml:space="preserve"> - </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t="str">
        <f>IF(ISNUMBER(Datos!M12),Datos!M12," - ")</f>
        <v xml:space="preserve"> - </v>
      </c>
      <c r="BD12" s="228" t="str">
        <f>IF(ISNUMBER(Datos!N12),Datos!N12," - ")</f>
        <v xml:space="preserve"> - </v>
      </c>
      <c r="BE12" s="228" t="str">
        <f>IF(ISNUMBER(Datos!BW12),Datos!BW12," - ")</f>
        <v xml:space="preserve"> - </v>
      </c>
      <c r="BF12" s="227" t="str">
        <f>IF(ISNUMBER(Datos!BX12),Datos!BX12," - ")</f>
        <v xml:space="preserve"> - </v>
      </c>
      <c r="BG12" s="242" t="str">
        <f>IF(ISNUMBER(IF(J_V="SI",Datos!K12/Datos!J12,(Datos!K12+Datos!AA12)/(Datos!J12+Datos!Z12))),IF(J_V="SI",Datos!K12/Datos!J12,(Datos!K12+Datos!AA12)/(Datos!J12+Datos!Z12))," - ")</f>
        <v xml:space="preserve"> - </v>
      </c>
      <c r="BH12" s="259" t="str">
        <f>IF(ISNUMBER(((IF(J_V="SI",Datos!L12/Datos!K12,(Datos!L12+Datos!AB12)/(Datos!K12+Datos!AA12)))*11)/factor_trimestre),((IF(J_V="SI",Datos!L12/Datos!K12,(Datos!L12+Datos!AB12)/(Datos!K12+Datos!AA12)))*11)/factor_trimestre," - ")</f>
        <v xml:space="preserve"> - </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t="str">
        <f>IF(ISNUMBER((Datos!P12-Datos!Q12+Datos!DE12)/(Datos!R12-Datos!P12+Datos!Q12-Datos!DE12)),(Datos!P12-Datos!Q12+Datos!DE12)/(Datos!R12-Datos!P12+Datos!Q12-Datos!DE12)," - ")</f>
        <v xml:space="preserve"> - </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36</v>
      </c>
      <c r="F13" s="895">
        <f t="shared" si="0"/>
        <v>367</v>
      </c>
      <c r="G13" s="895">
        <f t="shared" si="0"/>
        <v>367</v>
      </c>
      <c r="H13" s="896">
        <f t="shared" si="0"/>
        <v>0</v>
      </c>
      <c r="I13" s="895">
        <f t="shared" si="0"/>
        <v>0</v>
      </c>
      <c r="J13" s="864">
        <f t="shared" si="0"/>
        <v>0</v>
      </c>
      <c r="K13" s="864">
        <f t="shared" si="0"/>
        <v>0</v>
      </c>
      <c r="L13" s="896">
        <f t="shared" si="0"/>
        <v>0</v>
      </c>
      <c r="M13" s="896">
        <f t="shared" si="0"/>
        <v>0</v>
      </c>
      <c r="N13" s="896">
        <f t="shared" si="0"/>
        <v>1431</v>
      </c>
      <c r="O13" s="897">
        <f t="shared" si="0"/>
        <v>0</v>
      </c>
      <c r="P13" s="897">
        <f t="shared" si="0"/>
        <v>0</v>
      </c>
      <c r="Q13" s="896">
        <f t="shared" si="0"/>
        <v>2324</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230</v>
      </c>
      <c r="AC13" s="896">
        <f t="shared" si="1"/>
        <v>2781</v>
      </c>
      <c r="AD13" s="896">
        <f t="shared" si="1"/>
        <v>0</v>
      </c>
      <c r="AE13" s="896">
        <f t="shared" si="1"/>
        <v>0</v>
      </c>
      <c r="AF13" s="896">
        <f t="shared" si="1"/>
        <v>376</v>
      </c>
      <c r="AG13" s="896">
        <f t="shared" si="1"/>
        <v>0</v>
      </c>
      <c r="AH13" s="896">
        <f t="shared" si="1"/>
        <v>1168</v>
      </c>
      <c r="AI13" s="896">
        <f t="shared" si="1"/>
        <v>0</v>
      </c>
      <c r="AJ13" s="896">
        <f t="shared" si="1"/>
        <v>0</v>
      </c>
      <c r="AK13" s="896">
        <f t="shared" si="1"/>
        <v>0</v>
      </c>
      <c r="AL13" s="896">
        <f t="shared" si="1"/>
        <v>0</v>
      </c>
      <c r="AM13" s="896">
        <f t="shared" si="1"/>
        <v>34625</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4158</v>
      </c>
      <c r="BD13" s="896">
        <f t="shared" si="1"/>
        <v>7028</v>
      </c>
      <c r="BE13" s="896">
        <f t="shared" si="1"/>
        <v>0</v>
      </c>
      <c r="BF13" s="896">
        <f t="shared" si="1"/>
        <v>0</v>
      </c>
      <c r="BG13" s="896">
        <f>IF(ISNUMBER(Datos!K13/Datos!J13),Datos!K13/Datos!J13," - ")</f>
        <v>1.065662508825606</v>
      </c>
      <c r="BH13" s="900">
        <f>IF(ISNUMBER(((Datos!L13/Datos!K13)*11)/factor_trimestre),((Datos!L13/Datos!K13)*11)/factor_trimestre," - ")</f>
        <v>8.2027385159010606</v>
      </c>
      <c r="BI13" s="896">
        <f>IF(ISNUMBER('Resol  Asuntos'!D13/NºAsuntos!G13),'Resol  Asuntos'!D13/NºAsuntos!G13," - ")</f>
        <v>0.2772</v>
      </c>
      <c r="BJ13" s="896" t="str">
        <f>IF(ISNUMBER(Datos!CI13/Datos!CJ13),Datos!CI13/Datos!CJ13," - ")</f>
        <v xml:space="preserve"> - </v>
      </c>
      <c r="BK13" s="896">
        <f>SUBTOTAL(9,BK8:BK12)</f>
        <v>0</v>
      </c>
      <c r="BL13" s="896">
        <f>IF(ISNUMBER((I13-AB13+L13)/(F13)),(I13-AB13+L13)/(F13)," - ")</f>
        <v>-0.6267029972752044</v>
      </c>
      <c r="BM13" s="901">
        <f>SUBTOTAL(9,BM9:BM12)</f>
        <v>1.0128120844636067E-2</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21</v>
      </c>
      <c r="B15" s="593" t="s">
        <v>397</v>
      </c>
      <c r="C15" s="598" t="str">
        <f>Datos!A15</f>
        <v xml:space="preserve">Seccion Instruccion Del T.I.                   </v>
      </c>
      <c r="D15" s="599"/>
      <c r="E15" s="1160">
        <f>IF(ISNUMBER(Datos!AQ15),Datos!AQ15," - ")</f>
        <v>21</v>
      </c>
      <c r="F15" s="594">
        <f>IF(ISNUMBER(AF15+AB15-Datos!J15-L15),AF15+AB15-Datos!J15-L15," - ")</f>
        <v>13900</v>
      </c>
      <c r="G15" s="596">
        <f>IF(ISNUMBER(IF(D_I="SI",Datos!I15,Datos!I15+Datos!AC15)),IF(D_I="SI",Datos!I15,Datos!I15+Datos!AC15)," - ")</f>
        <v>13562</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900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f>IF(ISNUMBER(IF(D_I="SI",Datos!K15,Datos!K15+Datos!AE15)),IF(D_I="SI",Datos!K15,Datos!K15+Datos!AE15)," - ")</f>
        <v>14614</v>
      </c>
      <c r="AC15" s="225">
        <f>IF(ISNUMBER(Datos!Q15),Datos!Q15," - ")</f>
        <v>1039</v>
      </c>
      <c r="AD15" s="333"/>
      <c r="AE15" s="483"/>
      <c r="AF15" s="1192">
        <f>IF(ISNUMBER(IF(D_I="SI",Datos!L15,Datos!L15+Datos!AF15)),IF(D_I="SI",Datos!L15,Datos!L15+Datos!AF15)," - ")</f>
        <v>14066</v>
      </c>
      <c r="AG15" s="333"/>
      <c r="AH15" s="333"/>
      <c r="AI15" s="333"/>
      <c r="AJ15" s="333"/>
      <c r="AK15" s="333"/>
      <c r="AL15" s="478"/>
      <c r="AM15" s="334">
        <f>IF(ISNUMBER(Datos!R15),Datos!R15," - ")</f>
        <v>1846</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f>IF(ISNUMBER(Datos!M15),Datos!M15," - ")</f>
        <v>1978</v>
      </c>
      <c r="BD15" s="228">
        <f>IF(ISNUMBER(Datos!N15),Datos!N15," - ")</f>
        <v>8535</v>
      </c>
      <c r="BE15" s="228" t="str">
        <f>IF(ISNUMBER(Datos!BW15),Datos!BW15," - ")</f>
        <v xml:space="preserve"> - </v>
      </c>
      <c r="BF15" s="227" t="str">
        <f>IF(ISNUMBER(Datos!BX15),Datos!BX15," - ")</f>
        <v xml:space="preserve"> - </v>
      </c>
      <c r="BG15" s="242">
        <f>IF(ISNUMBER(IF(D_I="SI",Datos!K15/Datos!J15,(Datos!K15+Datos!AE15)/(Datos!J15+Datos!AD15))),IF(D_I="SI",Datos!K15/Datos!J15,(Datos!K15+Datos!AE15)/(Datos!J15+Datos!AD15))," - ")</f>
        <v>0.98876860622462792</v>
      </c>
      <c r="BH15" s="259">
        <f>IF(ISNUMBER(((IF(D_I="SI",Datos!L15/Datos!K15,(Datos!L15+Datos!AF15)/(Datos!K15+Datos!AE15)))*11)/factor_trimestre),((IF(D_I="SI",Datos!L15/Datos!K15,(Datos!L15+Datos!AF15)/(Datos!K15+Datos!AE15)))*11)/factor_trimestre," - ")</f>
        <v>2.8875051320651428</v>
      </c>
      <c r="BI15" s="242">
        <f>IF(ISNUMBER('Resol  Asuntos'!D15/NºAsuntos!G15),'Resol  Asuntos'!D15/NºAsuntos!G15," - ")</f>
        <v>0.13534966470507731</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0</v>
      </c>
      <c r="B17" s="593" t="s">
        <v>397</v>
      </c>
      <c r="C17" s="598" t="str">
        <f>Datos!A17</f>
        <v xml:space="preserve">Sección Civil y de Inst. TI                      </v>
      </c>
      <c r="D17" s="599"/>
      <c r="E17" s="1160">
        <f>IF(ISNUMBER(Datos!AQ17),Datos!AQ17," - ")</f>
        <v>0</v>
      </c>
      <c r="F17" s="594" t="str">
        <f>IF(ISNUMBER(AF17+AB17-Datos!J17-L17),AF17+AB17-Datos!J17-L17," - ")</f>
        <v xml:space="preserve"> - </v>
      </c>
      <c r="G17" s="596" t="str">
        <f>IF(ISNUMBER(IF(D_I="SI",Datos!I17,Datos!I17+Datos!AC17)),IF(D_I="SI",Datos!I17,Datos!I17+Datos!AC17)," - ")</f>
        <v xml:space="preserve"> - </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0</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t="str">
        <f>IF(ISNUMBER(IF(D_I="SI",Datos!K17,Datos!K17+Datos!AE17)),IF(D_I="SI",Datos!K17,Datos!K17+Datos!AE17)," - ")</f>
        <v xml:space="preserve"> - </v>
      </c>
      <c r="AC17" s="225" t="str">
        <f>IF(ISNUMBER(Datos!Q17),Datos!Q17," - ")</f>
        <v xml:space="preserve"> - </v>
      </c>
      <c r="AD17" s="333"/>
      <c r="AE17" s="483"/>
      <c r="AF17" s="1192" t="str">
        <f>IF(ISNUMBER(IF(D_I="SI",Datos!L17,Datos!L17+Datos!AF17)),IF(D_I="SI",Datos!L17,Datos!L17+Datos!AF17)," - ")</f>
        <v xml:space="preserve"> - </v>
      </c>
      <c r="AG17" s="333"/>
      <c r="AH17" s="333"/>
      <c r="AI17" s="333"/>
      <c r="AJ17" s="333"/>
      <c r="AK17" s="333"/>
      <c r="AL17" s="478"/>
      <c r="AM17" s="334" t="str">
        <f>IF(ISNUMBER(Datos!R17),Datos!R17," - ")</f>
        <v xml:space="preserve"> - </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t="str">
        <f>IF(ISNUMBER(Datos!M17),Datos!M17," - ")</f>
        <v xml:space="preserve"> - </v>
      </c>
      <c r="BD17" s="228" t="str">
        <f>IF(ISNUMBER(Datos!N17),Datos!N17," - ")</f>
        <v xml:space="preserve"> - </v>
      </c>
      <c r="BE17" s="228" t="str">
        <f>IF(ISNUMBER(Datos!BW17),Datos!BW17," - ")</f>
        <v xml:space="preserve"> - </v>
      </c>
      <c r="BF17" s="227" t="str">
        <f>IF(ISNUMBER(Datos!BX17),Datos!BX17," - ")</f>
        <v xml:space="preserve"> - </v>
      </c>
      <c r="BG17" s="242" t="str">
        <f>IF(ISNUMBER(IF(D_I="SI",Datos!K17/Datos!J17,(Datos!K17+Datos!AE17)/(Datos!J17+Datos!AD17))),IF(D_I="SI",Datos!K17/Datos!J17,(Datos!K17+Datos!AE17)/(Datos!J17+Datos!AD17))," - ")</f>
        <v xml:space="preserve"> - </v>
      </c>
      <c r="BH17" s="259" t="str">
        <f>IF(ISNUMBER(((IF(D_I="SI",Datos!L17/Datos!K17,(Datos!L17+Datos!AF17)/(Datos!K17+Datos!AE17)))*11)/factor_trimestre),((IF(D_I="SI",Datos!L17/Datos!K17,(Datos!L17+Datos!AF17)/(Datos!K17+Datos!AE17)))*11)/factor_trimestre," - ")</f>
        <v xml:space="preserve"> - </v>
      </c>
      <c r="BI17" s="242" t="str">
        <f>IF(ISNUMBER('Resol  Asuntos'!D17/NºAsuntos!G17),'Resol  Asuntos'!D17/NºAsuntos!G17," - ")</f>
        <v xml:space="preserve"> - </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6</v>
      </c>
      <c r="B18" s="506" t="s">
        <v>397</v>
      </c>
      <c r="C18" s="7" t="str">
        <f>Datos!A18</f>
        <v>Sección De Violencia sobre la Mujer del TI</v>
      </c>
      <c r="D18" s="507"/>
      <c r="E18" s="1020">
        <f>IF(ISNUMBER(Datos!AQ18),Datos!AQ18," - ")</f>
        <v>6</v>
      </c>
      <c r="F18" s="224" t="str">
        <f>IF(ISNUMBER(AF18+AB18-I18-L18),AF18+AB18-I18-L18," - ")</f>
        <v xml:space="preserve"> - </v>
      </c>
      <c r="G18" s="332">
        <f>IF(ISNUMBER(IF(D_I="SI",Datos!I18,Datos!I18+Datos!AC18)),IF(D_I="SI",Datos!I18,Datos!I18+Datos!AC18)," - ")</f>
        <v>1364</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20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1711</v>
      </c>
      <c r="AC18" s="225">
        <f>IF(ISNUMBER(Datos!Q18),Datos!Q18," - ")</f>
        <v>27</v>
      </c>
      <c r="AD18" s="333"/>
      <c r="AE18" s="483"/>
      <c r="AF18" s="331">
        <f>IF(ISNUMBER(Datos!L18),Datos!L18,"-")</f>
        <v>1778</v>
      </c>
      <c r="AG18" s="333"/>
      <c r="AH18" s="333"/>
      <c r="AI18" s="333"/>
      <c r="AJ18" s="333"/>
      <c r="AK18" s="333"/>
      <c r="AL18" s="478"/>
      <c r="AM18" s="334">
        <f>IF(ISNUMBER(Datos!R18),Datos!R18," - ")</f>
        <v>30</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102</v>
      </c>
      <c r="BD18" s="228">
        <f>IF(ISNUMBER(Datos!N18),Datos!N18," - ")</f>
        <v>1059</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0.79766899766899768</v>
      </c>
      <c r="BH18" s="259">
        <f>IF(ISNUMBER(((IF(D_I="SI",Datos!L18/Datos!K18,(Datos!L18+Datos!AF18)/(Datos!K18+Datos!AE18)))*11)/factor_trimestre),((IF(D_I="SI",Datos!L18/Datos!K18,(Datos!L18+Datos!AF18)/(Datos!K18+Datos!AE18)))*11)/factor_trimestre," - ")</f>
        <v>3.1174751607247226</v>
      </c>
      <c r="BI18" s="242">
        <f>IF(ISNUMBER('Resol  Asuntos'!D18/NºAsuntos!G18),'Resol  Asuntos'!D18/NºAsuntos!G18," - ")</f>
        <v>5.9614260666277029E-2</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27</v>
      </c>
      <c r="F19" s="895">
        <f>SUBTOTAL(9,F15:F18)</f>
        <v>13900</v>
      </c>
      <c r="G19" s="895">
        <f>SUBTOTAL(9,G15:G18)</f>
        <v>14926</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920</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16325</v>
      </c>
      <c r="AC19" s="896">
        <f t="shared" si="4"/>
        <v>1066</v>
      </c>
      <c r="AD19" s="896">
        <f t="shared" si="4"/>
        <v>0</v>
      </c>
      <c r="AE19" s="896">
        <f t="shared" si="4"/>
        <v>0</v>
      </c>
      <c r="AF19" s="896">
        <f t="shared" si="4"/>
        <v>15844</v>
      </c>
      <c r="AG19" s="896">
        <f t="shared" si="4"/>
        <v>0</v>
      </c>
      <c r="AH19" s="896">
        <f t="shared" si="4"/>
        <v>0</v>
      </c>
      <c r="AI19" s="896">
        <f t="shared" si="4"/>
        <v>0</v>
      </c>
      <c r="AJ19" s="896">
        <f t="shared" si="4"/>
        <v>0</v>
      </c>
      <c r="AK19" s="896">
        <f t="shared" si="4"/>
        <v>0</v>
      </c>
      <c r="AL19" s="896">
        <f t="shared" si="4"/>
        <v>0</v>
      </c>
      <c r="AM19" s="896">
        <f t="shared" si="4"/>
        <v>1876</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2080</v>
      </c>
      <c r="BD19" s="896">
        <f t="shared" si="4"/>
        <v>9594</v>
      </c>
      <c r="BE19" s="896">
        <f t="shared" si="4"/>
        <v>0</v>
      </c>
      <c r="BF19" s="896">
        <f t="shared" si="4"/>
        <v>0</v>
      </c>
      <c r="BG19" s="896">
        <f>IF(ISNUMBER(Datos!K19/Datos!J19),Datos!K19/Datos!J19," - ")</f>
        <v>0.96454948301329391</v>
      </c>
      <c r="BH19" s="900">
        <f>IF(ISNUMBER(((Datos!L19/Datos!K19)*11)/factor_trimestre),((Datos!L19/Datos!K19)*11)/factor_trimestre," - ")</f>
        <v>2.9116079632465541</v>
      </c>
      <c r="BI19" s="896">
        <f>SUBTOTAL(9,BI15:BI18)</f>
        <v>0.19496392537135435</v>
      </c>
      <c r="BJ19" s="896">
        <f>SUBTOTAL(9,BJ15:BJ18)</f>
        <v>0</v>
      </c>
      <c r="BK19" s="896">
        <f>SUBTOTAL(9,BK15:BK18)</f>
        <v>0</v>
      </c>
      <c r="BL19" s="896">
        <f>IF(ISNUMBER((I19-AB19+L19)/(F19)),(I19-AB19+L19)/(F19)," - ")</f>
        <v>-1.1744604316546763</v>
      </c>
      <c r="BM19" s="902">
        <f>IF(ISNUMBER((Datos!P19-Datos!Q19)/(Datos!R19-Datos!P19+Datos!Q19)),(Datos!P19-Datos!Q19)/(Datos!R19-Datos!P19+Datos!Q19)," - ")</f>
        <v>-7.2205736894164194E-2</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63</v>
      </c>
      <c r="F20" s="817">
        <f t="shared" si="6"/>
        <v>14267</v>
      </c>
      <c r="G20" s="817">
        <f t="shared" si="6"/>
        <v>15293</v>
      </c>
      <c r="H20" s="819">
        <f t="shared" si="6"/>
        <v>0</v>
      </c>
      <c r="I20" s="817">
        <f t="shared" si="6"/>
        <v>0</v>
      </c>
      <c r="J20" s="819">
        <f t="shared" si="6"/>
        <v>0</v>
      </c>
      <c r="K20" s="819">
        <f t="shared" si="6"/>
        <v>0</v>
      </c>
      <c r="L20" s="878">
        <f t="shared" si="6"/>
        <v>0</v>
      </c>
      <c r="M20" s="878">
        <f t="shared" si="6"/>
        <v>0</v>
      </c>
      <c r="N20" s="878">
        <f t="shared" si="6"/>
        <v>1431</v>
      </c>
      <c r="O20" s="878">
        <f t="shared" si="6"/>
        <v>0</v>
      </c>
      <c r="P20" s="878">
        <f t="shared" si="6"/>
        <v>0</v>
      </c>
      <c r="Q20" s="819">
        <f t="shared" si="6"/>
        <v>3244</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16555</v>
      </c>
      <c r="AC20" s="818">
        <f t="shared" si="7"/>
        <v>3847</v>
      </c>
      <c r="AD20" s="818">
        <f t="shared" si="7"/>
        <v>0</v>
      </c>
      <c r="AE20" s="818">
        <f t="shared" si="7"/>
        <v>0</v>
      </c>
      <c r="AF20" s="825">
        <f t="shared" si="7"/>
        <v>16220</v>
      </c>
      <c r="AG20" s="825">
        <f t="shared" si="7"/>
        <v>0</v>
      </c>
      <c r="AH20" s="825">
        <f t="shared" si="7"/>
        <v>1168</v>
      </c>
      <c r="AI20" s="825">
        <f t="shared" si="7"/>
        <v>0</v>
      </c>
      <c r="AJ20" s="818">
        <f t="shared" si="7"/>
        <v>0</v>
      </c>
      <c r="AK20" s="825">
        <f t="shared" si="7"/>
        <v>0</v>
      </c>
      <c r="AL20" s="825">
        <f t="shared" si="7"/>
        <v>0</v>
      </c>
      <c r="AM20" s="825">
        <f t="shared" si="7"/>
        <v>36501</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6238</v>
      </c>
      <c r="BD20" s="817">
        <f t="shared" si="7"/>
        <v>16622</v>
      </c>
      <c r="BE20" s="817">
        <f t="shared" si="7"/>
        <v>0</v>
      </c>
      <c r="BF20" s="827">
        <f t="shared" si="7"/>
        <v>0</v>
      </c>
      <c r="BG20" s="912">
        <f>IF(ISNUMBER(Datos!K20/Datos!J20),Datos!K20/Datos!J20," - ")</f>
        <v>1.0079873281207872</v>
      </c>
      <c r="BH20" s="912">
        <f>IF(ISNUMBER(((Datos!L20/Datos!K20)*11)/factor_trimestre),((Datos!L20/Datos!K20)*11)/factor_trimestre," - ")</f>
        <v>5.314721321341402</v>
      </c>
      <c r="BI20" s="810">
        <f>IF(ISNUMBER(Datos!J20/Datos!I20),Datos!J20/Datos!I20," - ")</f>
        <v>0.56411718853970605</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-1.1603700848111025</v>
      </c>
      <c r="BM20" s="886">
        <f>IF(ISNUMBER((Datos!P20-Datos!Q20+R20)/(Datos!R20-Datos!P20+Datos!Q20-R20)),(Datos!P20-Datos!Q20+R20)/(Datos!R20-Datos!P20+Datos!Q20-R20)," - ")</f>
        <v>-1.6251617076326004E-2</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6117.2</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13.175735273600484</v>
      </c>
      <c r="F22" s="550">
        <f>IF(ISNUMBER(STDEV(F8:F19)),STDEV(F8:F19),"-")</f>
        <v>7813.2811929432055</v>
      </c>
      <c r="G22" s="551">
        <f>IF(ISNUMBER(STDEV(G8:G19)),STDEV(G8:G19),"-")</f>
        <v>7445.5106406478262</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8121.784317500681</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1657.2119874743157</v>
      </c>
      <c r="BD22" s="550"/>
      <c r="BE22" s="550">
        <f>IF(ISNUMBER(STDEV(BE8:BE19)),STDEV(BE8:BE19),"-")</f>
        <v>0</v>
      </c>
      <c r="BF22" s="555">
        <f>IF(ISNUMBER(STDEV(BF8:BF19)),STDEV(BF8:BF19),"-")</f>
        <v>0</v>
      </c>
      <c r="BG22" s="772">
        <f>IF(ISNUMBER(STDEV(BG8:BG19)),STDEV(BG8:BG19),"-")</f>
        <v>9.1264158187490896E-2</v>
      </c>
      <c r="BH22" s="773">
        <f>IF(ISNUMBER(STDEV(BH8:BH19)),STDEV(BH8:BH19),"-")</f>
        <v>2.6466670929334564</v>
      </c>
      <c r="BI22" s="248">
        <f>IF(ISNUMBER(STDEV(BI8:BI19)),STDEV(BI8:BI19),"-")</f>
        <v>9.2121788406478999E-2</v>
      </c>
      <c r="BJ22" s="229" t="str">
        <f>IF(ISNUMBER(BL22/BM22),BL22/BM22," - ")</f>
        <v xml:space="preserve"> - </v>
      </c>
      <c r="BK22" s="574"/>
      <c r="BL22" s="558">
        <f>IF(ISNUMBER(STDEV(BL8:BL19)),STDEV(BL8:BL19),"-")</f>
        <v>0.38732299629506972</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Vf5eF7CmaM7hXaEL9nhloiENvd+GHasgStbvsFKTYKYIQJg3hiBujtTIIDHiud5PcAX5cizZBkl/AuQdufcopg==" saltValue="9CnKLK+tY93aw6td6/Vdgw=="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COMUNIDAD VALENCIANA</v>
      </c>
    </row>
    <row r="2" spans="1:78" ht="16.5" customHeight="1">
      <c r="C2" s="527" t="str">
        <f>Criterios!A10 &amp;"  "&amp;Criterios!B10 &amp; "  " &amp; IF(NOT(ISBLANK(Criterios!A11)),Criterios!A11 &amp;"  "&amp;Criterios!B11,"")</f>
        <v>Provincias  VALENCIA  Resumenes por Partidos Judiciales  VALENCIA</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24</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2140</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f>IF(ISNUMBER(Datos!Q9),Datos!Q9," - ")</f>
        <v>2519</v>
      </c>
      <c r="AA9" s="331" t="str">
        <f>IF(ISNUMBER(IF(J_V="SI",Datos!L9,Datos!L9+Datos!AB9)-IF(Monitorios="SI",Datos!CD9,0)),
                          IF(J_V="SI",Datos!L9,Datos!L9+Datos!AB9)-IF(Monitorios="SI",Datos!CD9,0),
                          " - ")</f>
        <v xml:space="preserve"> - </v>
      </c>
      <c r="AB9" s="333"/>
      <c r="AC9" s="333"/>
      <c r="AD9" s="483"/>
      <c r="AE9" s="483">
        <f>IF(ISNUMBER(Datos!R9),Datos!R9," - ")</f>
        <v>32783</v>
      </c>
      <c r="AF9" s="228" t="str">
        <f>IF(ISNUMBER(Datos!BV9),Datos!BV9," - ")</f>
        <v xml:space="preserve"> - </v>
      </c>
      <c r="AG9" s="224" t="str">
        <f>IF(ISNUMBER(Datos!DV9),Datos!DV9," - ")</f>
        <v xml:space="preserve"> - </v>
      </c>
      <c r="AH9" s="297"/>
      <c r="AI9" s="226"/>
      <c r="AJ9" s="224">
        <f>IF(ISNUMBER(Datos!M9),Datos!M9," - ")</f>
        <v>3599</v>
      </c>
      <c r="AK9" s="228">
        <f>IF(ISNUMBER(Datos!N9),Datos!N9," - ")</f>
        <v>5686</v>
      </c>
      <c r="AL9" s="228" t="str">
        <f>IF(ISNUMBER(Datos!BW9),Datos!BW9," - ")</f>
        <v xml:space="preserve"> - </v>
      </c>
      <c r="AM9" s="227" t="str">
        <f>IF(ISNUMBER(Datos!BX9),Datos!BX9," - ")</f>
        <v xml:space="preserve"> - </v>
      </c>
      <c r="AN9" s="242"/>
      <c r="AO9" s="259">
        <f>IF(ISNUMBER(((NºAsuntos!I9/NºAsuntos!G9)*11)/factor_trimestre),((NºAsuntos!I9/NºAsuntos!G9)*11)/factor_trimestre," - ")</f>
        <v>8.6402390438247014</v>
      </c>
      <c r="AP9" s="229" t="str">
        <f>IF(ISNUMBER(Datos!CI9/Datos!CJ9),Datos!CI9/Datos!CJ9," - ")</f>
        <v xml:space="preserve"> - </v>
      </c>
      <c r="AQ9" s="229" t="str">
        <f>IF(ISNUMBER((J9-Y9+K9)/(F9)),(J9-Y9+K9)/(F9)," - ")</f>
        <v xml:space="preserve"> - </v>
      </c>
      <c r="AR9" s="229">
        <f>IF(ISNUMBER((Datos!P9-Datos!Q9+Datos!DE9)/(Datos!R9-Datos!P9+Datos!Q9-Datos!DE9)),(Datos!P9-Datos!Q9+Datos!DE9)/(Datos!R9-Datos!P9+Datos!Q9-Datos!DE9)," - ")</f>
        <v>-1.1428743742838188E-2</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6</v>
      </c>
      <c r="B10" s="506" t="s">
        <v>247</v>
      </c>
      <c r="C10" s="7" t="str">
        <f>Datos!A10</f>
        <v>Sección De Violencia sobre la Mujer del TI</v>
      </c>
      <c r="D10" s="507"/>
      <c r="E10" s="1163">
        <f>IF(ISNUMBER(Datos!AQ10),Datos!AQ10," - ")</f>
        <v>6</v>
      </c>
      <c r="F10" s="224">
        <f>IF(ISNUMBER(Datos!L10+Datos!K10-Datos!J10),Datos!L10+Datos!K10-Datos!J10," - ")</f>
        <v>367</v>
      </c>
      <c r="G10" s="224">
        <f>IF(ISNUMBER(Datos!I10),Datos!I10," - ")</f>
        <v>367</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46</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230</v>
      </c>
      <c r="Z10" s="617">
        <f>IF(ISNUMBER(Datos!Q10),Datos!Q10," - ")</f>
        <v>24</v>
      </c>
      <c r="AA10" s="331">
        <f>IF(ISNUMBER(Datos!L10),Datos!L10,"-")</f>
        <v>376</v>
      </c>
      <c r="AB10" s="333"/>
      <c r="AC10" s="333"/>
      <c r="AD10" s="483"/>
      <c r="AE10" s="483">
        <f>IF(ISNUMBER(Datos!R10),Datos!R10," - ")</f>
        <v>290</v>
      </c>
      <c r="AF10" s="228" t="str">
        <f>IF(ISNUMBER(Datos!BV10),Datos!BV10," - ")</f>
        <v xml:space="preserve"> - </v>
      </c>
      <c r="AG10" s="224" t="str">
        <f>IF(ISNUMBER(Datos!DV10),Datos!DV10," - ")</f>
        <v xml:space="preserve"> - </v>
      </c>
      <c r="AH10" s="297"/>
      <c r="AI10" s="226"/>
      <c r="AJ10" s="224">
        <f>IF(ISNUMBER(Datos!M10),Datos!M10," - ")</f>
        <v>97</v>
      </c>
      <c r="AK10" s="228">
        <f>IF(ISNUMBER(Datos!N10),Datos!N10," - ")</f>
        <v>93</v>
      </c>
      <c r="AL10" s="228" t="str">
        <f>IF(ISNUMBER(Datos!BW10),Datos!BW10," - ")</f>
        <v xml:space="preserve"> - </v>
      </c>
      <c r="AM10" s="227" t="str">
        <f>IF(ISNUMBER(Datos!BX10),Datos!BX10," - ")</f>
        <v xml:space="preserve"> - </v>
      </c>
      <c r="AN10" s="242"/>
      <c r="AO10" s="259">
        <f>IF(ISNUMBER(((NºAsuntos!I10/NºAsuntos!G10)*11)/factor_trimestre),((NºAsuntos!I10/NºAsuntos!G10)*11)/factor_trimestre," - ")</f>
        <v>4.9043478260869566</v>
      </c>
      <c r="AP10" s="229" t="str">
        <f>IF(ISNUMBER(Datos!CI10/Datos!CJ10),Datos!CI10/Datos!CJ10," - ")</f>
        <v xml:space="preserve"> - </v>
      </c>
      <c r="AQ10" s="229" t="str">
        <f>IF(ISNUMBER((I10-Y10+K10)/(F10)),(I10-Y10+K10)/(F10)," - ")</f>
        <v xml:space="preserve"> - </v>
      </c>
      <c r="AR10" s="229">
        <f>IF(ISNUMBER((Datos!P10-Datos!Q10+Datos!DE10)/(Datos!R10-Datos!P10+Datos!Q10-Datos!DE10)),(Datos!P10-Datos!Q10+Datos!DE10)/(Datos!R10-Datos!P10+Datos!Q10-Datos!DE10)," - ")</f>
        <v>8.2089552238805971E-2</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6</v>
      </c>
      <c r="B11" s="506" t="s">
        <v>247</v>
      </c>
      <c r="C11" s="7" t="str">
        <f>Datos!A11</f>
        <v xml:space="preserve">Sección de Familia, infancia y capacidad del TI                           </v>
      </c>
      <c r="D11" s="507"/>
      <c r="E11" s="1163">
        <f>IF(ISNUMBER(Datos!AQ11),Datos!AQ11," - ")</f>
        <v>6</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138</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f>IF(ISNUMBER(Datos!Q11),Datos!Q11," - ")</f>
        <v>238</v>
      </c>
      <c r="AA11" s="331" t="str">
        <f>IF(ISNUMBER(IF(J_V="SI",Datos!L11,Datos!L11+Datos!AB11)-IF(Monitorios="SI",Datos!CD11,0)),
                          IF(J_V="SI",Datos!L11,Datos!L11+Datos!AB11)-IF(Monitorios="SI",Datos!CD11,0),
                          " - ")</f>
        <v xml:space="preserve"> - </v>
      </c>
      <c r="AB11" s="333"/>
      <c r="AC11" s="333"/>
      <c r="AD11" s="483"/>
      <c r="AE11" s="483">
        <f>IF(ISNUMBER(Datos!R11),Datos!R11," - ")</f>
        <v>1552</v>
      </c>
      <c r="AF11" s="228" t="str">
        <f>IF(ISNUMBER(Datos!BV11),Datos!BV11," - ")</f>
        <v xml:space="preserve"> - </v>
      </c>
      <c r="AG11" s="224" t="str">
        <f>IF(ISNUMBER(Datos!DV11),Datos!DV11," - ")</f>
        <v xml:space="preserve"> - </v>
      </c>
      <c r="AH11" s="297"/>
      <c r="AI11" s="226"/>
      <c r="AJ11" s="224">
        <f>IF(ISNUMBER(Datos!M11),Datos!M11," - ")</f>
        <v>462</v>
      </c>
      <c r="AK11" s="228">
        <f>IF(ISNUMBER(Datos!N11),Datos!N11," - ")</f>
        <v>1249</v>
      </c>
      <c r="AL11" s="228" t="str">
        <f>IF(ISNUMBER(Datos!BW11),Datos!BW11," - ")</f>
        <v xml:space="preserve"> - </v>
      </c>
      <c r="AM11" s="227" t="str">
        <f>IF(ISNUMBER(Datos!BX11),Datos!BX11," - ")</f>
        <v xml:space="preserve"> - </v>
      </c>
      <c r="AN11" s="242"/>
      <c r="AO11" s="259">
        <f>IF(ISNUMBER(((NºAsuntos!I11/NºAsuntos!G11)*11)/factor_trimestre),((NºAsuntos!I11/NºAsuntos!G11)*11)/factor_trimestre," - ")</f>
        <v>2.4175675675675676</v>
      </c>
      <c r="AP11" s="229" t="str">
        <f>IF(ISNUMBER(Datos!CI11/Datos!CJ11),Datos!CI11/Datos!CJ11," - ")</f>
        <v xml:space="preserve"> - </v>
      </c>
      <c r="AQ11" s="229" t="str">
        <f>IF(ISNUMBER((I11-Y11+K11)/(F11)),(I11-Y11+K11)/(F11)," - ")</f>
        <v xml:space="preserve"> - </v>
      </c>
      <c r="AR11" s="229">
        <f>IF(ISNUMBER((Datos!P11-Datos!Q11+Datos!DE11)/(Datos!R11-Datos!P11+Datos!Q11-Datos!DE11)),(Datos!P11-Datos!Q11+Datos!DE11)/(Datos!R11-Datos!P11+Datos!Q11-Datos!DE11)," - ")</f>
        <v>-6.0532687651331719E-2</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0</v>
      </c>
      <c r="B12" s="506" t="s">
        <v>247</v>
      </c>
      <c r="C12" s="7" t="str">
        <f>Datos!A12</f>
        <v xml:space="preserve">Sección Civil y de Instrucción del T.I.       </v>
      </c>
      <c r="D12" s="507"/>
      <c r="E12" s="1163">
        <f>IF(ISNUMBER(Datos!AQ12),Datos!AQ12," - ")</f>
        <v>0</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0</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t="str">
        <f>IF(ISNUMBER(Datos!Q12),Datos!Q12," - ")</f>
        <v xml:space="preserve"> - </v>
      </c>
      <c r="AA12" s="331" t="str">
        <f>IF(ISNUMBER(IF(J_V="SI",Datos!L12,Datos!L12+Datos!AB12)-IF(Monitorios="SI",Datos!CD12,0)),
                          IF(J_V="SI",Datos!L12,Datos!L12+Datos!AB12)-IF(Monitorios="SI",Datos!CD12,0),
                          " - ")</f>
        <v xml:space="preserve"> - </v>
      </c>
      <c r="AB12" s="333"/>
      <c r="AC12" s="333"/>
      <c r="AD12" s="483"/>
      <c r="AE12" s="483" t="str">
        <f>IF(ISNUMBER(Datos!R12),Datos!R12," - ")</f>
        <v xml:space="preserve"> - </v>
      </c>
      <c r="AF12" s="228" t="str">
        <f>IF(ISNUMBER(Datos!BV12),Datos!BV12," - ")</f>
        <v xml:space="preserve"> - </v>
      </c>
      <c r="AG12" s="224" t="str">
        <f>IF(ISNUMBER(Datos!DV12),Datos!DV12," - ")</f>
        <v xml:space="preserve"> - </v>
      </c>
      <c r="AH12" s="297"/>
      <c r="AI12" s="226"/>
      <c r="AJ12" s="224" t="str">
        <f>IF(ISNUMBER(Datos!M12),Datos!M12," - ")</f>
        <v xml:space="preserve"> - </v>
      </c>
      <c r="AK12" s="228" t="str">
        <f>IF(ISNUMBER(Datos!N12),Datos!N12," - ")</f>
        <v xml:space="preserve"> - </v>
      </c>
      <c r="AL12" s="228" t="str">
        <f>IF(ISNUMBER(Datos!BW12),Datos!BW12," - ")</f>
        <v xml:space="preserve"> - </v>
      </c>
      <c r="AM12" s="227" t="str">
        <f>IF(ISNUMBER(Datos!BX12),Datos!BX12," - ")</f>
        <v xml:space="preserve"> - </v>
      </c>
      <c r="AN12" s="242"/>
      <c r="AO12" s="259" t="str">
        <f>IF(ISNUMBER(((NºAsuntos!I12/NºAsuntos!G12)*11)/factor_trimestre),((NºAsuntos!I12/NºAsuntos!G12)*11)/factor_trimestre," - ")</f>
        <v xml:space="preserve"> - </v>
      </c>
      <c r="AP12" s="229" t="str">
        <f>IF(ISNUMBER(Datos!CI12/Datos!CJ12),Datos!CI12/Datos!CJ12," - ")</f>
        <v xml:space="preserve"> - </v>
      </c>
      <c r="AQ12" s="229" t="str">
        <f>IF(ISNUMBER((I12-Y12+K12)/(F12)),(I12-Y12+K12)/(F12)," - ")</f>
        <v xml:space="preserve"> - </v>
      </c>
      <c r="AR12" s="229" t="str">
        <f>IF(ISNUMBER((Datos!P12-Datos!Q12+Datos!DE12)/(Datos!R12-Datos!P12+Datos!Q12-Datos!DE12)),(Datos!P12-Datos!Q12+Datos!DE12)/(Datos!R12-Datos!P12+Datos!Q12-Datos!DE12)," - ")</f>
        <v xml:space="preserve"> - </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36</v>
      </c>
      <c r="F13" s="895">
        <f>SUBTOTAL(9,F8:F12)</f>
        <v>367</v>
      </c>
      <c r="G13" s="895">
        <f>SUBTOTAL(9,G8:G12)</f>
        <v>367</v>
      </c>
      <c r="H13" s="905"/>
      <c r="I13" s="895">
        <f t="shared" ref="I13:N13" si="0">SUBTOTAL(9,I8:I12)</f>
        <v>0</v>
      </c>
      <c r="J13" s="864">
        <f t="shared" si="0"/>
        <v>0</v>
      </c>
      <c r="K13" s="905">
        <f t="shared" si="0"/>
        <v>0</v>
      </c>
      <c r="L13" s="905">
        <f t="shared" si="0"/>
        <v>0</v>
      </c>
      <c r="M13" s="905">
        <f t="shared" si="0"/>
        <v>0</v>
      </c>
      <c r="N13" s="905">
        <f t="shared" si="0"/>
        <v>2324</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230</v>
      </c>
      <c r="Z13" s="904">
        <f t="shared" si="2"/>
        <v>2781</v>
      </c>
      <c r="AA13" s="897">
        <f t="shared" si="2"/>
        <v>376</v>
      </c>
      <c r="AB13" s="897">
        <f t="shared" si="2"/>
        <v>0</v>
      </c>
      <c r="AC13" s="897">
        <f t="shared" si="2"/>
        <v>0</v>
      </c>
      <c r="AD13" s="897">
        <f t="shared" si="2"/>
        <v>0</v>
      </c>
      <c r="AE13" s="897">
        <f t="shared" si="2"/>
        <v>34625</v>
      </c>
      <c r="AF13" s="905">
        <f t="shared" si="2"/>
        <v>0</v>
      </c>
      <c r="AG13" s="905">
        <f t="shared" si="2"/>
        <v>0</v>
      </c>
      <c r="AH13" s="905">
        <f t="shared" si="2"/>
        <v>0</v>
      </c>
      <c r="AI13" s="905">
        <f t="shared" si="2"/>
        <v>0</v>
      </c>
      <c r="AJ13" s="905">
        <f t="shared" si="2"/>
        <v>4158</v>
      </c>
      <c r="AK13" s="905">
        <f t="shared" si="2"/>
        <v>7028</v>
      </c>
      <c r="AL13" s="905">
        <f t="shared" si="2"/>
        <v>0</v>
      </c>
      <c r="AM13" s="905">
        <f t="shared" si="2"/>
        <v>0</v>
      </c>
      <c r="AN13" s="905">
        <f t="shared" si="2"/>
        <v>0</v>
      </c>
      <c r="AO13" s="901">
        <f>IF(ISNUMBER(((NºAsuntos!I13/NºAsuntos!G13)*11)/factor_trimestre),((NºAsuntos!I13/NºAsuntos!G13)*11)/factor_trimestre," - ")</f>
        <v>7.6619999999999999</v>
      </c>
      <c r="AP13" s="907" t="str">
        <f>IF(ISNUMBER(Datos!CI13/Datos!CJ13),Datos!CI13/Datos!CJ13," - ")</f>
        <v xml:space="preserve"> - </v>
      </c>
      <c r="AQ13" s="923">
        <f t="shared" ref="AQ13:AV13" si="3">SUBTOTAL(9,AQ9:AQ12)</f>
        <v>0</v>
      </c>
      <c r="AR13" s="923">
        <f t="shared" si="3"/>
        <v>1.0128120844636067E-2</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21</v>
      </c>
      <c r="B15" s="506" t="s">
        <v>397</v>
      </c>
      <c r="C15" s="159" t="str">
        <f>Datos!A15</f>
        <v xml:space="preserve">Seccion Instruccion Del T.I.                   </v>
      </c>
      <c r="D15" s="501"/>
      <c r="E15" s="1163">
        <f>IF(ISNUMBER(Datos!AQ15),Datos!AQ15," - ")</f>
        <v>21</v>
      </c>
      <c r="F15" s="332">
        <f>IF(ISNUMBER(AA15+Y15-Datos!J15-K15),AA15+Y15-Datos!J15-K15," - ")</f>
        <v>13900</v>
      </c>
      <c r="G15" s="224">
        <f>IF(ISNUMBER(IF(D_I="SI",Datos!I15,Datos!I15+Datos!AC15)),IF(D_I="SI",Datos!I15,Datos!I15+Datos!AC15)," - ")</f>
        <v>13562</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900</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f>IF(ISNUMBER(IF(D_I="SI",Datos!K15,Datos!K15+Datos!AE15)),IF(D_I="SI",Datos!K15,Datos!K15+Datos!AE15)," - ")</f>
        <v>14614</v>
      </c>
      <c r="Z15" s="617">
        <f>IF(ISNUMBER(Datos!Q15),Datos!Q15," - ")</f>
        <v>1039</v>
      </c>
      <c r="AA15" s="331">
        <f>IF(ISNUMBER(IF(D_I="SI",Datos!L15,Datos!L15+Datos!AF15)),IF(D_I="SI",Datos!L15,Datos!L15+Datos!AF15)," - ")</f>
        <v>14066</v>
      </c>
      <c r="AB15" s="333"/>
      <c r="AC15" s="333"/>
      <c r="AD15" s="483"/>
      <c r="AE15" s="483">
        <f>IF(ISNUMBER(Datos!R15),Datos!R15," - ")</f>
        <v>1846</v>
      </c>
      <c r="AF15" s="228" t="str">
        <f>IF(ISNUMBER(Datos!BV15),Datos!BV15," - ")</f>
        <v xml:space="preserve"> - </v>
      </c>
      <c r="AG15" s="224"/>
      <c r="AH15" s="297"/>
      <c r="AI15" s="226"/>
      <c r="AJ15" s="224">
        <f>IF(ISNUMBER(Datos!M15),Datos!M15," - ")</f>
        <v>1978</v>
      </c>
      <c r="AK15" s="228">
        <f>IF(ISNUMBER(Datos!N15),Datos!N15," - ")</f>
        <v>8535</v>
      </c>
      <c r="AL15" s="228" t="str">
        <f>IF(ISNUMBER(Datos!BW15),Datos!BW15," - ")</f>
        <v xml:space="preserve"> - </v>
      </c>
      <c r="AM15" s="227" t="str">
        <f>IF(ISNUMBER(Datos!BX15),Datos!BX15," - ")</f>
        <v xml:space="preserve"> - </v>
      </c>
      <c r="AN15" s="242"/>
      <c r="AO15" s="259">
        <f>IF(ISNUMBER(((NºAsuntos!I15/NºAsuntos!G15)*11)/factor_trimestre),((NºAsuntos!I15/NºAsuntos!G15)*11)/factor_trimestre," - ")</f>
        <v>2.8875051320651428</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0</v>
      </c>
      <c r="B17" s="506" t="s">
        <v>397</v>
      </c>
      <c r="C17" s="159" t="str">
        <f>Datos!A17</f>
        <v xml:space="preserve">Sección Civil y de Inst. TI                      </v>
      </c>
      <c r="D17" s="501"/>
      <c r="E17" s="1163">
        <f>IF(ISNUMBER(Datos!AQ17),Datos!AQ17," - ")</f>
        <v>0</v>
      </c>
      <c r="F17" s="332" t="str">
        <f>IF(ISNUMBER(AA17+Y17-Datos!J17-K15),AA17+Y17-Datos!J17-K15," - ")</f>
        <v xml:space="preserve"> - </v>
      </c>
      <c r="G17" s="224" t="str">
        <f>IF(ISNUMBER(IF(D_I="SI",Datos!I17,Datos!I17+Datos!AC17)),IF(D_I="SI",Datos!I17,Datos!I17+Datos!AC17)," - ")</f>
        <v xml:space="preserve"> - </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0</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t="str">
        <f>IF(ISNUMBER(IF(D_I="SI",Datos!K17,Datos!K17+Datos!AE17)),IF(D_I="SI",Datos!K17,Datos!K17+Datos!AE17)," - ")</f>
        <v xml:space="preserve"> - </v>
      </c>
      <c r="Z17" s="617" t="str">
        <f>IF(ISNUMBER(Datos!Q17),Datos!Q17," - ")</f>
        <v xml:space="preserve"> - </v>
      </c>
      <c r="AA17" s="331" t="str">
        <f>IF(ISNUMBER(IF(D_I="SI",Datos!L17,Datos!L17+Datos!AF17)),IF(D_I="SI",Datos!L17,Datos!L17+Datos!AF17)," - ")</f>
        <v xml:space="preserve"> - </v>
      </c>
      <c r="AB17" s="333"/>
      <c r="AC17" s="333"/>
      <c r="AD17" s="483"/>
      <c r="AE17" s="483" t="str">
        <f>IF(ISNUMBER(Datos!R17),Datos!R17," - ")</f>
        <v xml:space="preserve"> - </v>
      </c>
      <c r="AF17" s="228" t="str">
        <f>IF(ISNUMBER(Datos!BV17),Datos!BV17," - ")</f>
        <v xml:space="preserve"> - </v>
      </c>
      <c r="AG17" s="224"/>
      <c r="AH17" s="297"/>
      <c r="AI17" s="226"/>
      <c r="AJ17" s="224" t="str">
        <f>IF(ISNUMBER(Datos!M17),Datos!M17," - ")</f>
        <v xml:space="preserve"> - </v>
      </c>
      <c r="AK17" s="228" t="str">
        <f>IF(ISNUMBER(Datos!N17),Datos!N17," - ")</f>
        <v xml:space="preserve"> - </v>
      </c>
      <c r="AL17" s="228" t="str">
        <f>IF(ISNUMBER(Datos!BW17),Datos!BW17," - ")</f>
        <v xml:space="preserve"> - </v>
      </c>
      <c r="AM17" s="227" t="str">
        <f>IF(ISNUMBER(Datos!BX17),Datos!BX17," - ")</f>
        <v xml:space="preserve"> - </v>
      </c>
      <c r="AN17" s="242"/>
      <c r="AO17" s="259" t="str">
        <f>IF(ISNUMBER(((NºAsuntos!I17/NºAsuntos!G17)*11)/factor_trimestre),((NºAsuntos!I17/NºAsuntos!G17)*11)/factor_trimestre," - ")</f>
        <v xml:space="preserve"> - </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6</v>
      </c>
      <c r="B18" s="506" t="s">
        <v>397</v>
      </c>
      <c r="C18" s="7" t="str">
        <f>Datos!A18</f>
        <v>Sección De Violencia sobre la Mujer del TI</v>
      </c>
      <c r="D18" s="507"/>
      <c r="E18" s="1163">
        <f>IF(ISNUMBER(Datos!AQ18),Datos!AQ18," - ")</f>
        <v>6</v>
      </c>
      <c r="F18" s="224" t="str">
        <f>IF(ISNUMBER(AA18+Y18-I18-K18),AA18+Y18-I18-K18," - ")</f>
        <v xml:space="preserve"> - </v>
      </c>
      <c r="G18" s="522">
        <f>IF(ISNUMBER(IF(D_I="SI",Datos!I18,Datos!I18+Datos!AC18)),IF(D_I="SI",Datos!I18,Datos!I18+Datos!AC18)," - ")</f>
        <v>1364</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20</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1711</v>
      </c>
      <c r="Z18" s="617">
        <f>IF(ISNUMBER(Datos!Q18),Datos!Q18," - ")</f>
        <v>27</v>
      </c>
      <c r="AA18" s="331">
        <f>IF(ISNUMBER(Datos!L18),Datos!L18,"-")</f>
        <v>1778</v>
      </c>
      <c r="AB18" s="333"/>
      <c r="AC18" s="333"/>
      <c r="AD18" s="483"/>
      <c r="AE18" s="483">
        <f>IF(ISNUMBER(Datos!R18),Datos!R18," - ")</f>
        <v>30</v>
      </c>
      <c r="AF18" s="228" t="str">
        <f>IF(ISNUMBER(Datos!BV18),Datos!BV18," - ")</f>
        <v xml:space="preserve"> - </v>
      </c>
      <c r="AG18" s="224" t="str">
        <f>IF(ISNUMBER(Datos!DV18),Datos!DV18," - ")</f>
        <v xml:space="preserve"> - </v>
      </c>
      <c r="AH18" s="297"/>
      <c r="AI18" s="226"/>
      <c r="AJ18" s="224">
        <f>IF(ISNUMBER(Datos!M18),Datos!M18," - ")</f>
        <v>102</v>
      </c>
      <c r="AK18" s="228">
        <f>IF(ISNUMBER(Datos!N18),Datos!N18," - ")</f>
        <v>1059</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3.1174751607247226</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27</v>
      </c>
      <c r="F19" s="895">
        <f>SUBTOTAL(9,F15:F18)</f>
        <v>13900</v>
      </c>
      <c r="G19" s="895">
        <f>SUBTOTAL(9,G15:G18)</f>
        <v>14926</v>
      </c>
      <c r="H19" s="927">
        <f>SUBTOTAL(9,H15:H18)</f>
        <v>0</v>
      </c>
      <c r="I19" s="908">
        <f>SUBTOTAL(9,I15:I18)</f>
        <v>0</v>
      </c>
      <c r="J19" s="864">
        <f>SUBTOTAL(9,J14:J18)</f>
        <v>0</v>
      </c>
      <c r="K19" s="927">
        <f t="shared" ref="K19:S19" si="4">SUBTOTAL(9,K15:K18)</f>
        <v>0</v>
      </c>
      <c r="L19" s="927">
        <f t="shared" si="4"/>
        <v>0</v>
      </c>
      <c r="M19" s="927">
        <f t="shared" si="4"/>
        <v>0</v>
      </c>
      <c r="N19" s="927">
        <f t="shared" si="4"/>
        <v>920</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16325</v>
      </c>
      <c r="Z19" s="927">
        <f t="shared" si="5"/>
        <v>1066</v>
      </c>
      <c r="AA19" s="927">
        <f t="shared" si="5"/>
        <v>15844</v>
      </c>
      <c r="AB19" s="927">
        <f t="shared" si="5"/>
        <v>0</v>
      </c>
      <c r="AC19" s="927">
        <f t="shared" si="5"/>
        <v>0</v>
      </c>
      <c r="AD19" s="927">
        <f t="shared" si="5"/>
        <v>0</v>
      </c>
      <c r="AE19" s="927">
        <f t="shared" si="5"/>
        <v>1876</v>
      </c>
      <c r="AF19" s="927">
        <f t="shared" si="5"/>
        <v>0</v>
      </c>
      <c r="AG19" s="927">
        <f t="shared" si="5"/>
        <v>0</v>
      </c>
      <c r="AH19" s="927">
        <f t="shared" si="5"/>
        <v>0</v>
      </c>
      <c r="AI19" s="927">
        <f t="shared" si="5"/>
        <v>0</v>
      </c>
      <c r="AJ19" s="927">
        <f t="shared" si="5"/>
        <v>2080</v>
      </c>
      <c r="AK19" s="927">
        <f t="shared" si="5"/>
        <v>9594</v>
      </c>
      <c r="AL19" s="927">
        <f t="shared" si="5"/>
        <v>0</v>
      </c>
      <c r="AM19" s="927">
        <f t="shared" si="5"/>
        <v>0</v>
      </c>
      <c r="AN19" s="927">
        <f t="shared" si="5"/>
        <v>0</v>
      </c>
      <c r="AO19" s="929">
        <f>IF(ISNUMBER(((NºAsuntos!I19/NºAsuntos!G19)*11)/factor_trimestre),((NºAsuntos!I19/NºAsuntos!G19)*11)/factor_trimestre," - ")</f>
        <v>2.9116079632465541</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63</v>
      </c>
      <c r="F20" s="817">
        <f t="shared" si="7"/>
        <v>14267</v>
      </c>
      <c r="G20" s="817">
        <f t="shared" si="7"/>
        <v>15293</v>
      </c>
      <c r="H20" s="818">
        <f t="shared" si="7"/>
        <v>0</v>
      </c>
      <c r="I20" s="817">
        <f t="shared" si="7"/>
        <v>0</v>
      </c>
      <c r="J20" s="819">
        <f t="shared" si="7"/>
        <v>0</v>
      </c>
      <c r="K20" s="817">
        <f t="shared" si="7"/>
        <v>0</v>
      </c>
      <c r="L20" s="820">
        <f t="shared" si="7"/>
        <v>0</v>
      </c>
      <c r="M20" s="817">
        <f t="shared" si="7"/>
        <v>0</v>
      </c>
      <c r="N20" s="818">
        <f t="shared" si="7"/>
        <v>3244</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16555</v>
      </c>
      <c r="Z20" s="824">
        <f t="shared" si="8"/>
        <v>3847</v>
      </c>
      <c r="AA20" s="825">
        <f t="shared" si="8"/>
        <v>16220</v>
      </c>
      <c r="AB20" s="825">
        <f t="shared" si="8"/>
        <v>0</v>
      </c>
      <c r="AC20" s="825">
        <f t="shared" si="8"/>
        <v>0</v>
      </c>
      <c r="AD20" s="826">
        <f t="shared" si="8"/>
        <v>0</v>
      </c>
      <c r="AE20" s="826">
        <f t="shared" si="8"/>
        <v>36501</v>
      </c>
      <c r="AF20" s="827">
        <f t="shared" si="8"/>
        <v>0</v>
      </c>
      <c r="AG20" s="828">
        <f t="shared" si="8"/>
        <v>0</v>
      </c>
      <c r="AH20" s="829">
        <f t="shared" si="8"/>
        <v>0</v>
      </c>
      <c r="AI20" s="827">
        <f t="shared" si="8"/>
        <v>0</v>
      </c>
      <c r="AJ20" s="817">
        <f t="shared" si="8"/>
        <v>6238</v>
      </c>
      <c r="AK20" s="817">
        <f t="shared" si="8"/>
        <v>16622</v>
      </c>
      <c r="AL20" s="817">
        <f t="shared" si="8"/>
        <v>0</v>
      </c>
      <c r="AM20" s="830">
        <f t="shared" si="8"/>
        <v>0</v>
      </c>
      <c r="AN20" s="820">
        <f>IF(ISNUMBER(Datos!K20/Datos!J20),Datos!K20/Datos!J20," - ")</f>
        <v>1.0079873281207872</v>
      </c>
      <c r="AO20" s="820">
        <f>IF(ISNUMBER(FIND("06",Criterios!A8,1)),(IF(ISNUMBER(((Datos!R20/Datos!Q20)*11)/factor_trimestre),((Datos!R20/Datos!Q20)*11)/factor_trimestre," - ")),(IF(ISNUMBER(((Datos!L20/Datos!K20)*11)/factor_trimestre),((Datos!L20/Datos!K20)*11)/factor_trimestre," - ")))</f>
        <v>5.314721321341402</v>
      </c>
      <c r="AP20" s="831" t="str">
        <f>IF(ISNUMBER(Datos!CI20/Datos!CJ20),Datos!CI20/Datos!CJ20," - ")</f>
        <v xml:space="preserve"> - </v>
      </c>
      <c r="AQ20" s="831">
        <f>IF(OR(ISNUMBER(FIND("01",Criterios!A8,1)),ISNUMBER(FIND("02",Criterios!A8,1)),ISNUMBER(FIND("03",Criterios!A8,1)),ISNUMBER(FIND("04",Criterios!A8,1))),(J20-Y20+K20)/(F20-K20),(I20-Y20+K20)/(F20-K20))</f>
        <v>-1.1603700848111025</v>
      </c>
      <c r="AR20" s="831">
        <f>IF(ISNUMBER((Datos!P20-Datos!Q20+O20)/(Datos!R20-Datos!P20+Datos!Q20-O20)),(Datos!P20-Datos!Q20+O20)/(Datos!R20-Datos!P20+Datos!Q20-O20)," - ")</f>
        <v>-1.6251617076326004E-2</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6117.2</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7813.2811929432055</v>
      </c>
      <c r="G22" s="551">
        <f>IF(ISNUMBER(STDEV(G8:G19)),STDEV(G8:G19),"-")</f>
        <v>7445.5106406478262</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1657.2119874743157</v>
      </c>
      <c r="AK22" s="251"/>
      <c r="AL22" s="251">
        <f>IF(ISNUMBER(STDEV(AL8:AL19)),STDEV(AL8:AL19),"-")</f>
        <v>0</v>
      </c>
      <c r="AM22" s="253">
        <f>IF(ISNUMBER(STDEV(AM8:AM19)),STDEV(AM8:AM19),"-")</f>
        <v>0</v>
      </c>
      <c r="AN22" s="538">
        <f>IF(ISNUMBER(STDEV(AN8:AN19)),STDEV(AN8:AN19),"-")</f>
        <v>0</v>
      </c>
      <c r="AO22" s="539">
        <f>IF(ISNUMBER(STDEV(AO8:AO19)),STDEV(AO8:AO19),"-")</f>
        <v>2.5337592026566202</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37dP69tXzNhB0MxTYfJLqdTAvQ/BF5fn4dzNKEkOJUWzs5KmExhHDKiX/ZqDfmdDEXxAUl7Wb+a7fyX9fzf0+A==" saltValue="Z0yCcckaMuzvbuCyBjFTzQ=="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q5ppOgRGAfvr6yfG/5UHT/hYjkFVbfchQQ9+iZYDE/08k8VJphyo7Kggv+hC2+dBNNRAAuuZgpT8q5O/uvwohQ==" saltValue="lIvfTo8ICvS8Jby+aU6NoQ=="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COMUNIDAD VALENCIANA</v>
      </c>
    </row>
    <row r="4" spans="1:156" ht="13.5" thickBot="1">
      <c r="A4" t="str">
        <f>Criterios!A10</f>
        <v>Provincias</v>
      </c>
      <c r="B4" t="str">
        <f>Criterios!B10</f>
        <v>VALENCIA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Vk7Rtje+2yxAbG1r0Ktx/u4Rsvpzo5rCghuK/BzcC68f4TXniIPLnVSZzulzLB6vVoCVH3k1AeuJfARNNtTSLQ==" saltValue="9EJy1XO0CUp+/EkM2/Vdcw=="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COMUNIDAD VALENCIANA</v>
      </c>
    </row>
    <row r="2" spans="1:78" ht="16.5" customHeight="1">
      <c r="C2" s="487" t="str">
        <f>Criterios!A10 &amp;"  "&amp;Criterios!B10 &amp; "  " &amp; IF(NOT(ISBLANK(Criterios!A11)),Criterios!A11 &amp;"  "&amp;Criterios!B11,"")</f>
        <v>Provincias  VALENCIA  Resumenes por Partidos Judiciales  VALENCIA</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0.2772</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0.19600999974491098</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cMLmLbdH51+wi6W8iT4KlrT44U61mqmDac7oc3Yhp1NV76ADFayq7LI5O8oTwxKtKMTFxVh041YOxn4Xx/12Nw==" saltValue="VUa2ERxuUZQr06HAMIqU3Q=="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0X+xek6acEp91DNQ4gLWwoM37G2YYesj7VmLAdDXKrEvYGo3xtDWQKJYOKWnIzpy1xngyNb4o2cZDf7HtNezHA==" saltValue="0fHfS0iXOXPZm9/uyPUWjA=="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COMUNIDAD VALENCIANA</v>
      </c>
      <c r="W1"/>
      <c r="X1"/>
    </row>
    <row r="2" spans="1:78" ht="16.5" customHeight="1">
      <c r="C2" s="487" t="str">
        <f>Criterios!A10 &amp;"  "&amp;Criterios!B10 &amp; "  " &amp; IF(NOT(ISBLANK(Criterios!A11)),Criterios!A11 &amp;"  "&amp;Criterios!B11,"")</f>
        <v>Provincias  VALENCIA  Resumenes por Partidos Judiciales  VALENCIA</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24</v>
      </c>
      <c r="B9" s="500" t="s">
        <v>247</v>
      </c>
      <c r="C9" s="159" t="str">
        <f>Datos!A9</f>
        <v>Sección Civil del T.I</v>
      </c>
      <c r="D9" s="501"/>
      <c r="E9" s="679">
        <f>IF(ISNUMBER(Datos!AQ9),Datos!AQ9," - ")</f>
        <v>24</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6</v>
      </c>
      <c r="B10" s="506" t="s">
        <v>247</v>
      </c>
      <c r="C10" s="7" t="str">
        <f>Datos!A10</f>
        <v>Sección De Violencia sobre la Mujer del TI</v>
      </c>
      <c r="D10" s="507"/>
      <c r="E10" s="679">
        <f>IF(ISNUMBER(Datos!AQ10),Datos!AQ10," - ")</f>
        <v>6</v>
      </c>
      <c r="F10" s="680">
        <f>IF(ISNUMBER(Datos!L10+Datos!K10-Datos!J10),Datos!L10+Datos!K10-Datos!J10," - ")</f>
        <v>367</v>
      </c>
      <c r="G10" s="681">
        <f>IF(ISNUMBER(Datos!I10),Datos!I10," - ")</f>
        <v>367</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46</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f>IF(ISNUMBER(DatosP!AS18/E10),DatosP!AS18/E10," - ")</f>
        <v>0</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230</v>
      </c>
      <c r="AC10" s="680" t="str">
        <f>IF(ISNUMBER(IF(D_I="SI",DatosP!K18,DatosP!K18+DatosP!AE18)),IF(D_I="SI",DatosP!K18,DatosP!K18+DatosP!AE18)," - ")</f>
        <v xml:space="preserve"> - </v>
      </c>
      <c r="AD10" s="682"/>
      <c r="AE10" s="682"/>
      <c r="AF10" s="685">
        <f>IF(ISNUMBER(Datos!L10),Datos!L10,"-")</f>
        <v>376</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97</v>
      </c>
      <c r="AM10" s="687">
        <f>IF(ISNUMBER(Datos!N10+DatosP!N18),Datos!N10+DatosP!N18," - ")</f>
        <v>93</v>
      </c>
      <c r="AN10" s="687">
        <f>IF(ISNUMBER(Datos!BW10+DatosP!BW18),Datos!BW10+DatosP!BW18," - ")</f>
        <v>0</v>
      </c>
      <c r="AO10" s="688">
        <f>IF(ISNUMBER(Datos!BX10+DatosP!BX18),Datos!BX10+DatosP!BX18," - ")</f>
        <v>0</v>
      </c>
      <c r="AP10" s="690">
        <f>IF(ISNUMBER(((Datos!L10/Datos!K10)*11)/factor_trimestre),((Datos!L10/Datos!K10)*11)/factor_trimestre," - ")</f>
        <v>4.9043478260869566</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6</v>
      </c>
      <c r="B11" s="506" t="s">
        <v>247</v>
      </c>
      <c r="C11" s="7" t="str">
        <f>Datos!A11</f>
        <v xml:space="preserve">Sección de Familia, infancia y capacidad del TI                           </v>
      </c>
      <c r="D11" s="507"/>
      <c r="E11" s="679">
        <f>IF(ISNUMBER(Datos!AQ11),Datos!AQ11," - ")</f>
        <v>6</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0</v>
      </c>
      <c r="B12" s="506" t="s">
        <v>247</v>
      </c>
      <c r="C12" s="7" t="str">
        <f>Datos!A12</f>
        <v xml:space="preserve">Sección Civil y de Instrucción del T.I.       </v>
      </c>
      <c r="D12" s="507"/>
      <c r="E12" s="679">
        <f>IF(ISNUMBER(Datos!AQ12),Datos!AQ12," - ")</f>
        <v>0</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0</v>
      </c>
      <c r="O12" s="682">
        <f>IF(ISNUMBER(DatosP!P17),DatosP!P17,0)</f>
        <v>0</v>
      </c>
      <c r="P12" s="682" t="str">
        <f>IF(ISNUMBER(DatosP!DE17),DatosP!DE17," - ")</f>
        <v xml:space="preserve"> - </v>
      </c>
      <c r="Q12" s="683"/>
      <c r="R12" s="683"/>
      <c r="S12" s="682" t="str">
        <f>IF(ISNUMBER(Datos!AS12*(2500/380)+DatosP!AS17),Datos!AS12*(2500/380)+DatosP!AS17," - ")</f>
        <v xml:space="preserve"> - </v>
      </c>
      <c r="T12" s="682" t="str">
        <f>IF(ISNUMBER(DatosP!AS17/E12),DatosP!AS17/E12," - ")</f>
        <v xml:space="preserve"> - </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t="str">
        <f>IF(ISNUMBER(Datos!Q12),Datos!Q12," - ")</f>
        <v xml:space="preserve"> - </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t="str">
        <f>IF(ISNUMBER(Datos!R12),Datos!R12," - ")</f>
        <v xml:space="preserve"> - </v>
      </c>
      <c r="AI12" s="686" t="str">
        <f>IF(ISNUMBER(DatosP!R17),DatosP!R17," - ")</f>
        <v xml:space="preserve"> - </v>
      </c>
      <c r="AJ12" s="679">
        <f>IF(ISNUMBER(Datos!BV12+DatosP!BV17),Datos!BV12+DatosP!BV17," - ")</f>
        <v>0</v>
      </c>
      <c r="AK12" s="669" t="str">
        <f>IF(ISNUMBER(Datos!DV12),Datos!DV12," - ")</f>
        <v xml:space="preserve"> - </v>
      </c>
      <c r="AL12" s="680" t="str">
        <f>IF(ISNUMBER(Datos!M12+DatosP!M17),Datos!M12+DatosP!M17," - ")</f>
        <v xml:space="preserve"> - </v>
      </c>
      <c r="AM12" s="687" t="str">
        <f>IF(ISNUMBER(Datos!N12+DatosP!N17),Datos!N12+DatosP!N17," - ")</f>
        <v xml:space="preserve"> - </v>
      </c>
      <c r="AN12" s="687">
        <f>IF(ISNUMBER(Datos!BW12+DatosP!BW17),Datos!BW12+DatosP!BW17," - ")</f>
        <v>0</v>
      </c>
      <c r="AO12" s="688">
        <f>IF(ISNUMBER(Datos!BX12+DatosP!BX17),Datos!BX12+DatosP!BX17," - ")</f>
        <v>0</v>
      </c>
      <c r="AP12" s="690" t="str">
        <f>IF(ISNUMBER(((IF(J_V="SI",Datos!L12/Datos!K12,(Datos!L12+Datos!AB12)/(Datos!K12+Datos!AA12)))*11)/factor_trimestre),((IF(J_V="SI",Datos!L12/Datos!K12,(Datos!L12+Datos!AB12)/(Datos!K12+Datos!AA12)))*11)/factor_trimestre," - ")</f>
        <v xml:space="preserve"> - </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t="str">
        <f>IF(ISNUMBER((Datos!P12-Datos!Q12+Datos!DE12)/(Datos!R12-Datos!P12+Datos!Q12-Datos!DE12)),(Datos!P12-Datos!Q12+Datos!DE12)/(Datos!R12-Datos!P12+Datos!Q12-Datos!DE12)," - ")</f>
        <v xml:space="preserve"> - </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36</v>
      </c>
      <c r="F13" s="933">
        <f t="shared" si="0"/>
        <v>367</v>
      </c>
      <c r="G13" s="933">
        <f t="shared" si="0"/>
        <v>367</v>
      </c>
      <c r="H13" s="933">
        <f t="shared" si="0"/>
        <v>0</v>
      </c>
      <c r="I13" s="935">
        <f t="shared" si="0"/>
        <v>0</v>
      </c>
      <c r="J13" s="934">
        <f t="shared" si="0"/>
        <v>0</v>
      </c>
      <c r="K13" s="934">
        <f t="shared" si="0"/>
        <v>0</v>
      </c>
      <c r="L13" s="936">
        <f t="shared" si="0"/>
        <v>0</v>
      </c>
      <c r="M13" s="936">
        <f t="shared" si="0"/>
        <v>0</v>
      </c>
      <c r="N13" s="934">
        <f t="shared" si="0"/>
        <v>46</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230</v>
      </c>
      <c r="AC13" s="934">
        <f t="shared" si="1"/>
        <v>0</v>
      </c>
      <c r="AD13" s="934">
        <f t="shared" si="1"/>
        <v>0</v>
      </c>
      <c r="AE13" s="934">
        <f t="shared" si="1"/>
        <v>0</v>
      </c>
      <c r="AF13" s="934">
        <f t="shared" si="1"/>
        <v>376</v>
      </c>
      <c r="AG13" s="934">
        <f t="shared" si="1"/>
        <v>0</v>
      </c>
      <c r="AH13" s="934">
        <f t="shared" si="1"/>
        <v>0</v>
      </c>
      <c r="AI13" s="934">
        <f t="shared" si="1"/>
        <v>0</v>
      </c>
      <c r="AJ13" s="934">
        <f t="shared" si="1"/>
        <v>0</v>
      </c>
      <c r="AK13" s="934">
        <f t="shared" si="1"/>
        <v>0</v>
      </c>
      <c r="AL13" s="934">
        <f t="shared" si="1"/>
        <v>97</v>
      </c>
      <c r="AM13" s="934">
        <f t="shared" si="1"/>
        <v>93</v>
      </c>
      <c r="AN13" s="934">
        <f t="shared" si="1"/>
        <v>0</v>
      </c>
      <c r="AO13" s="934">
        <f t="shared" si="1"/>
        <v>0</v>
      </c>
      <c r="AP13" s="939">
        <f>IF(ISNUMBER(((Datos!L13/Datos!K13)*11)/factor_trimestre),((Datos!L13/Datos!K13)*11)/factor_trimestre," - ")</f>
        <v>8.2027385159010606</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-0.6267029972752044</v>
      </c>
      <c r="AU13" s="934" t="str">
        <f>IF(ISNUMBER((DatosP!#REF!-DatosP!#REF!+DatosP!#REF!)/(DatosP!#REF!+DatosP!#REF!-DatosP!#REF!-DatosP!#REF!)),(DatosP!#REF!-DatosP!#REF!+DatosP!#REF!)/(DatosP!#REF!+DatosP!#REF!-DatosP!#REF!-DatosP!#REF!)," - ")</f>
        <v xml:space="preserve"> - </v>
      </c>
      <c r="AV13" s="940">
        <f>SUBTOTAL(9,AV9:AV12)</f>
        <v>0</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21</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0</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6</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2.9116079632465541</v>
      </c>
      <c r="AQ19" s="939">
        <f>IF(ISNUMBER(((Datos!M19/Datos!L19)*11)/factor_trimestre),((Datos!M19/Datos!L19)*11)/factor_trimestre," - ")</f>
        <v>0.39383993940924011</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-7.2205736894164194E-2</v>
      </c>
      <c r="AW19" s="941">
        <f>IF(ISNUMBER((Datos!Q19-Datos!R19)/(Datos!S19-Datos!Q19+Datos!R19)),(Datos!Q19-Datos!R19)/(Datos!S19-Datos!Q19+Datos!R19)," - ")</f>
        <v>-5.9602649006622516E-2</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36</v>
      </c>
      <c r="F20" s="946">
        <f t="shared" si="4"/>
        <v>367</v>
      </c>
      <c r="G20" s="946">
        <f t="shared" si="4"/>
        <v>367</v>
      </c>
      <c r="H20" s="946">
        <f t="shared" si="4"/>
        <v>0</v>
      </c>
      <c r="I20" s="947">
        <f t="shared" si="4"/>
        <v>0</v>
      </c>
      <c r="J20" s="948">
        <f t="shared" si="4"/>
        <v>0</v>
      </c>
      <c r="K20" s="948">
        <f t="shared" si="4"/>
        <v>0</v>
      </c>
      <c r="L20" s="948">
        <f t="shared" si="4"/>
        <v>0</v>
      </c>
      <c r="M20" s="948">
        <f t="shared" si="4"/>
        <v>0</v>
      </c>
      <c r="N20" s="947">
        <f t="shared" si="4"/>
        <v>46</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230</v>
      </c>
      <c r="AC20" s="952">
        <f t="shared" si="5"/>
        <v>0</v>
      </c>
      <c r="AD20" s="952">
        <f t="shared" si="5"/>
        <v>0</v>
      </c>
      <c r="AE20" s="952">
        <f t="shared" si="5"/>
        <v>0</v>
      </c>
      <c r="AF20" s="953">
        <f t="shared" si="5"/>
        <v>376</v>
      </c>
      <c r="AG20" s="953">
        <f t="shared" si="5"/>
        <v>0</v>
      </c>
      <c r="AH20" s="953">
        <f t="shared" si="5"/>
        <v>0</v>
      </c>
      <c r="AI20" s="953">
        <f t="shared" si="5"/>
        <v>0</v>
      </c>
      <c r="AJ20" s="954">
        <f t="shared" si="5"/>
        <v>0</v>
      </c>
      <c r="AK20" s="954">
        <f t="shared" si="5"/>
        <v>0</v>
      </c>
      <c r="AL20" s="946">
        <f t="shared" si="5"/>
        <v>97</v>
      </c>
      <c r="AM20" s="946">
        <f t="shared" si="5"/>
        <v>93</v>
      </c>
      <c r="AN20" s="946">
        <f t="shared" si="5"/>
        <v>0</v>
      </c>
      <c r="AO20" s="946">
        <f t="shared" si="5"/>
        <v>0</v>
      </c>
      <c r="AP20" s="946">
        <f>IF(ISNUMBER(((Datos!L20/Datos!K20)*11)/factor_trimestre),((Datos!L20/Datos!K20)*11)/factor_trimestre," - ")</f>
        <v>5.314721321341402</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-0.6267029972752044</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-1.6251617076326004E-2</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244.66666666666666</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14.696938456699069</v>
      </c>
      <c r="F22" s="733">
        <f>IF(ISNUMBER(STDEV(F8:F19)),STDEV(F8:F19),"-")</f>
        <v>211.88754879259264</v>
      </c>
      <c r="G22" s="734">
        <f>IF(ISNUMBER(STDEV(G8:G19)),STDEV(G8:G19),"-")</f>
        <v>211.88754879259264</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132.79056191361394</v>
      </c>
      <c r="AC22" s="735">
        <f>IF(ISNUMBER(STDEV(AC8:AC19)),STDEV(AC8:AC19),"-")</f>
        <v>0</v>
      </c>
      <c r="AD22" s="738"/>
      <c r="AE22" s="738"/>
      <c r="AF22" s="738"/>
      <c r="AG22" s="738"/>
      <c r="AH22" s="738"/>
      <c r="AI22" s="738"/>
      <c r="AJ22" s="739">
        <f>IF(ISNUMBER(STDEV(AJ8:AJ19)),STDEV(AJ8:AJ19),"-")</f>
        <v>0</v>
      </c>
      <c r="AK22" s="741"/>
      <c r="AL22" s="733">
        <f>IF(ISNUMBER(STDEV(AL8:AL19)),STDEV(AL8:AL19),"-")</f>
        <v>56.0029761113937</v>
      </c>
      <c r="AM22" s="733"/>
      <c r="AN22" s="733">
        <f>IF(ISNUMBER(STDEV(AN8:AN19)),STDEV(AN8:AN19),"-")</f>
        <v>0</v>
      </c>
      <c r="AO22" s="739">
        <f>IF(ISNUMBER(STDEV(AO8:AO19)),STDEV(AO8:AO19),"-")</f>
        <v>0</v>
      </c>
      <c r="AP22" s="776">
        <f>IF(ISNUMBER(STDEV(AP8:AP19)),STDEV(AP8:AP19),"-")</f>
        <v>2.6722791716946883</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8DMYgeGpJ1b9qi7IhV7ae3fXC3JzTRNaHEMU/m/ySWmpdhtsfCHsVb8Tpr4TS0Hjh0Fu6bAkwrrqqe0nlQlT0w==" saltValue="X2j+4P4ayJJMevPGsSY5TQ=="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COMUNIDAD VALENCIANA</v>
      </c>
    </row>
    <row r="2" spans="1:168" ht="16.5" customHeight="1">
      <c r="C2" s="487" t="str">
        <f>Criterios!A10 &amp;"  "&amp;Criterios!B10 &amp; "  " &amp; IF(NOT(ISBLANK(Criterios!A11)),Criterios!A11 &amp;"  "&amp;Criterios!B11,"")</f>
        <v>Provincias  VALENCIA  Resumenes por Partidos Judiciales  VALENCIA</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24</v>
      </c>
      <c r="B9" s="500" t="s">
        <v>247</v>
      </c>
      <c r="C9" s="159" t="str">
        <f>Datos!A9</f>
        <v>Sección Civil del T.I</v>
      </c>
      <c r="D9" s="501"/>
      <c r="E9" s="259">
        <f>IF(ISNUMBER(Datos!AQ9),Datos!AQ9," - ")</f>
        <v>24</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f>IF(ISNUMBER(Datos!Z9),Datos!Z9," - ")</f>
        <v>542</v>
      </c>
      <c r="O9" s="333"/>
      <c r="P9" s="333"/>
      <c r="Q9" s="225">
        <f>IF(ISNUMBER(Datos!P9),Datos!P9,0)</f>
        <v>2140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f>IF(ISNUMBER(Datos!Q9),Datos!Q9," - ")</f>
        <v>2519</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f>IF(ISNUMBER(Datos!AB9),Datos!AB9,"-")</f>
        <v>558</v>
      </c>
      <c r="AI9" s="224" t="str">
        <f>IF(ISNUMBER(Datos!CD9),Datos!CD9,"-")</f>
        <v>-</v>
      </c>
      <c r="AJ9" s="224" t="str">
        <f>IF(ISNUMBER(Datos!EN9),Datos!EN9," - ")</f>
        <v xml:space="preserve"> - </v>
      </c>
      <c r="AK9" s="333"/>
      <c r="AL9" s="478"/>
      <c r="AM9" s="224">
        <f>IF(ISNUMBER(Datos!R9),Datos!R9," - ")</f>
        <v>32783</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f>IF(ISNUMBER(Datos!M9),Datos!M9," - ")</f>
        <v>3599</v>
      </c>
      <c r="BD9" s="228">
        <f>IF(ISNUMBER(Datos!N9),Datos!N9," - ")</f>
        <v>5686</v>
      </c>
      <c r="BE9" s="224" t="str">
        <f>IF(ISNUMBER(Datos!BW9),Datos!BW9," - ")</f>
        <v xml:space="preserve"> - </v>
      </c>
      <c r="BF9" s="224" t="str">
        <f>IF(ISNUMBER(Datos!BX9),Datos!BX9," - ")</f>
        <v xml:space="preserve"> - </v>
      </c>
      <c r="BG9" s="242">
        <f>IF(ISNUMBER(IF(J_V="SI",Datos!K9/Datos!J9,(Datos!K9+Datos!AA9)/(Datos!J9+Datos!Z9))),IF(J_V="SI",Datos!K9/Datos!J9,(Datos!K9+Datos!AA9)/(Datos!J9+Datos!Z9))," - ")</f>
        <v>1.073750855578371</v>
      </c>
      <c r="BH9" s="224">
        <f>IF(ISNUMBER(((IF(J_V="SI",Datos!L9/Datos!K9,(Datos!L9+Datos!AB9)/(Datos!K9+Datos!AA9)))*11)/factor_trimestre),((IF(J_V="SI",Datos!L9/Datos!K9,(Datos!L9+Datos!AB9)/(Datos!K9+Datos!AA9)))*11)/factor_trimestre," - ")</f>
        <v>8.6402390438247014</v>
      </c>
      <c r="BI9" s="242"/>
      <c r="BJ9" s="1205" t="str">
        <f>IF(ISNUMBER(Datos!CI9/Datos!CJ9),Datos!CI9/Datos!CJ9," - ")</f>
        <v xml:space="preserve"> - </v>
      </c>
      <c r="BK9" s="359" t="str">
        <f>IF(ISNUMBER(Datos!CJ9),Datos!CJ9," - ")</f>
        <v xml:space="preserve"> - </v>
      </c>
      <c r="BL9" s="229" t="str">
        <f>IF(ISNUMBER((J9-AB9+L9)/(F9)),(J9-AB9+L9)/(F9)," - ")</f>
        <v xml:space="preserve"> - </v>
      </c>
      <c r="BM9" s="609">
        <f>IF(ISNUMBER((Datos!P9-Datos!Q9+Datos!DE9)/(Datos!R9-Datos!P9+Datos!Q9-Datos!DE9)),(Datos!P9-Datos!Q9+Datos!DE9)/(Datos!R9-Datos!P9+Datos!Q9-Datos!DE9)," - ")</f>
        <v>-1.1428743742838188E-2</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5778.6784317500678</v>
      </c>
      <c r="CF9" s="228">
        <f ca="1">AVERAGEIFS($AB:$AB,$BW:$BW,BW9,$BX:$BX,BX9)</f>
        <v>5778.6784317500678</v>
      </c>
      <c r="CG9" s="1191">
        <v>0.7</v>
      </c>
      <c r="CH9" s="1191">
        <f ca="1">AVERAGEIF($BW:$BW,$BW9,$AC:$AC)</f>
        <v>1049.1818181818182</v>
      </c>
      <c r="CI9" s="228">
        <f ca="1">AVERAGEIFS($AC:$AC,$BW:$BW,$BW9,$BX:$BX,$BX9)</f>
        <v>1049.1818181818182</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5406.666666666667</v>
      </c>
      <c r="CR9" s="228">
        <f ca="1">AVERAGEIFS($AF:$AF,$BW:$BW,BW9,$BX:$BX,BX9)</f>
        <v>5406.666666666667</v>
      </c>
      <c r="CS9" s="1191">
        <v>1.3</v>
      </c>
      <c r="CT9" s="1191">
        <v>1.5</v>
      </c>
      <c r="CU9" s="1191">
        <f ca="1">AVERAGEIF($BW:$BW,$BW9,$AH:$AH)</f>
        <v>438</v>
      </c>
      <c r="CV9" s="228">
        <f ca="1">AVERAGEIFS($AH:$AH,$BW:$BW,$BW9,$BX:$BX,$BX9)</f>
        <v>438</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9954.818181818182</v>
      </c>
      <c r="DH9" s="228">
        <f ca="1">AVERAGEIFS($AM:$AM,$BW:$BW,$BW9,$BX:$BX,$BX9)</f>
        <v>9954.818181818182</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3.4202391353076305</v>
      </c>
      <c r="ER9" s="228">
        <f ca="1">AVERAGEIFS($BH:$BH,$BW:$BW,$BW9,$BX:$BX,$BX9)</f>
        <v>3.4202391353076305</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6</v>
      </c>
      <c r="B10" s="506" t="s">
        <v>247</v>
      </c>
      <c r="C10" s="7" t="str">
        <f>Datos!A10</f>
        <v>Sección De Violencia sobre la Mujer del TI</v>
      </c>
      <c r="D10" s="507"/>
      <c r="E10" s="259">
        <f>IF(ISNUMBER(Datos!AQ10),Datos!AQ10," - ")</f>
        <v>6</v>
      </c>
      <c r="F10" s="224">
        <f>IF(ISNUMBER(Datos!L10+Datos!K10-Datos!J10),Datos!L10+Datos!K10-Datos!J10," - ")</f>
        <v>367</v>
      </c>
      <c r="G10" s="332">
        <f>IF(ISNUMBER(Datos!I10),Datos!I10," - ")</f>
        <v>367</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46</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230</v>
      </c>
      <c r="AC10" s="224">
        <f>IF(ISNUMBER(Datos!Q10),Datos!Q10," - ")</f>
        <v>24</v>
      </c>
      <c r="AD10" s="224"/>
      <c r="AE10" s="224"/>
      <c r="AF10" s="224">
        <f>IF(ISNUMBER(Datos!L10),Datos!L10,"-")</f>
        <v>376</v>
      </c>
      <c r="AG10" s="333"/>
      <c r="AH10" s="224"/>
      <c r="AI10" s="224"/>
      <c r="AJ10" s="224"/>
      <c r="AK10" s="333"/>
      <c r="AL10" s="478"/>
      <c r="AM10" s="224">
        <f>IF(ISNUMBER(Datos!R10),Datos!R10," - ")</f>
        <v>290</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97</v>
      </c>
      <c r="BD10" s="228">
        <f>IF(ISNUMBER(Datos!N10),Datos!N10," - ")</f>
        <v>93</v>
      </c>
      <c r="BE10" s="224" t="str">
        <f>IF(ISNUMBER(Datos!BW10),Datos!BW10," - ")</f>
        <v xml:space="preserve"> - </v>
      </c>
      <c r="BF10" s="224" t="str">
        <f>IF(ISNUMBER(Datos!BX10),Datos!BX10," - ")</f>
        <v xml:space="preserve"> - </v>
      </c>
      <c r="BG10" s="242">
        <f>IF(ISNUMBER(Datos!K10/Datos!J10),Datos!K10/Datos!J10," - ")</f>
        <v>0.96234309623430958</v>
      </c>
      <c r="BH10" s="224">
        <f>IF(ISNUMBER(((Datos!L10/Datos!K10)*11)/factor_trimestre),((Datos!L10/Datos!K10)*11)/factor_trimestre," - ")</f>
        <v>4.9043478260869566</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8.2089552238805971E-2</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5778.6784317500678</v>
      </c>
      <c r="CF10" s="228">
        <f ca="1">AVERAGEIFS($AB:$AB,$BW:$BW,BW10,$BX:$BX,BX10)</f>
        <v>5778.6784317500678</v>
      </c>
      <c r="CG10" s="1191">
        <v>0.7</v>
      </c>
      <c r="CH10" s="1191">
        <f ca="1">AVERAGEIF($BW:$BW,BW10,$AC:$AC)</f>
        <v>1049.1818181818182</v>
      </c>
      <c r="CI10" s="228">
        <f ca="1">AVERAGEIFS($AC:$AC,$BW:$BW,BW10,$BX:$BX,BX10)</f>
        <v>1049.1818181818182</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5406.666666666667</v>
      </c>
      <c r="CR10" s="228">
        <f ca="1">AVERAGEIFS($AF:$AF,$BW:$BW,BW10,$BX:$BX,BX10)</f>
        <v>5406.666666666667</v>
      </c>
      <c r="CS10" s="1191">
        <v>1.3</v>
      </c>
      <c r="CT10" s="1191">
        <v>1.5</v>
      </c>
      <c r="CU10" s="1191">
        <f ca="1">AVERAGEIF($BW:$BW,$BW10,$AH:$AH)</f>
        <v>438</v>
      </c>
      <c r="CV10" s="228">
        <f ca="1">AVERAGEIFS($AH:$AH,$BW:$BW,$BW10,$BX:$BX,$BX10)</f>
        <v>438</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9954.818181818182</v>
      </c>
      <c r="DH10" s="228">
        <f ca="1">AVERAGEIFS($AM:$AM,$BW:$BW,$BW10,$BX:$BX,$BX10)</f>
        <v>9954.818181818182</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3.4202391353076305</v>
      </c>
      <c r="ER10" s="228">
        <f ca="1">AVERAGEIFS($BH:$BH,$BW:$BW,$BW10,$BX:$BX,$BX10)</f>
        <v>3.4202391353076305</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6</v>
      </c>
      <c r="B11" s="506" t="s">
        <v>247</v>
      </c>
      <c r="C11" s="7" t="str">
        <f>Datos!A11</f>
        <v xml:space="preserve">Sección de Familia, infancia y capacidad del TI                           </v>
      </c>
      <c r="D11" s="507"/>
      <c r="E11" s="259">
        <f>IF(ISNUMBER(Datos!AQ11),Datos!AQ11," - ")</f>
        <v>6</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f>IF(ISNUMBER(Datos!Z11),Datos!Z11," - ")</f>
        <v>889</v>
      </c>
      <c r="O11" s="333"/>
      <c r="P11" s="333"/>
      <c r="Q11" s="225">
        <f>IF(ISNUMBER(Datos!P11),Datos!P11,0)</f>
        <v>138</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f>IF(ISNUMBER(Datos!Q11),Datos!Q11," - ")</f>
        <v>238</v>
      </c>
      <c r="AD11" s="224"/>
      <c r="AE11" s="224"/>
      <c r="AF11" s="224" t="str">
        <f>IF(ISNUMBER(IF(J_V="SI",Datos!L11,Datos!L11+Datos!AB11)-IF(Monitorios="SI",Datos!CD11,0)),
                          IF(J_V="SI",Datos!L11,Datos!L11+Datos!AB11)-IF(Monitorios="SI",Datos!CD11,0),
                          " - ")</f>
        <v xml:space="preserve"> - </v>
      </c>
      <c r="AG11" s="333"/>
      <c r="AH11" s="224">
        <f>IF(ISNUMBER(Datos!AB11),Datos!AB11,"-")</f>
        <v>610</v>
      </c>
      <c r="AI11" s="224"/>
      <c r="AJ11" s="224"/>
      <c r="AK11" s="333"/>
      <c r="AL11" s="478"/>
      <c r="AM11" s="224">
        <f>IF(ISNUMBER(Datos!R11),Datos!R11," - ")</f>
        <v>1552</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f>IF(ISNUMBER(Datos!M11),Datos!M11," - ")</f>
        <v>462</v>
      </c>
      <c r="BD11" s="228">
        <f>IF(ISNUMBER(Datos!N11),Datos!N11," - ")</f>
        <v>1249</v>
      </c>
      <c r="BE11" s="224" t="str">
        <f>IF(ISNUMBER(Datos!BW11),Datos!BW11," - ")</f>
        <v xml:space="preserve"> - </v>
      </c>
      <c r="BF11" s="224" t="str">
        <f>IF(ISNUMBER(Datos!BX11),Datos!BX11," - ")</f>
        <v xml:space="preserve"> - </v>
      </c>
      <c r="BG11" s="242">
        <f>IF(ISNUMBER(IF(J_V="SI",Datos!K11/Datos!J11,(Datos!K11+Datos!AA11)/(Datos!J11+Datos!Z11))),IF(J_V="SI",Datos!K11/Datos!J11,(Datos!K11+Datos!AA11)/(Datos!J11+Datos!Z11))," - ")</f>
        <v>0.986228342958685</v>
      </c>
      <c r="BH11" s="224">
        <f>IF(ISNUMBER(((IF(J_V="SI",Datos!L11/Datos!K11,(Datos!L11+Datos!AB11)/(Datos!K11+Datos!AA11)))*11)/factor_trimestre),((IF(J_V="SI",Datos!L11/Datos!K11,(Datos!L11+Datos!AB11)/(Datos!K11+Datos!AA11)))*11)/factor_trimestre," - ")</f>
        <v>2.4175675675675676</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f>IF(ISNUMBER((Datos!P11-Datos!Q11+Datos!DE11)/(Datos!R11-Datos!P11+Datos!Q11-Datos!DE11)),(Datos!P11-Datos!Q11+Datos!DE11)/(Datos!R11-Datos!P11+Datos!Q11-Datos!DE11)," - ")</f>
        <v>-6.0532687651331719E-2</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5778.6784317500678</v>
      </c>
      <c r="CF11" s="228">
        <f ca="1">AVERAGEIFS($AB:$AB,$BW:$BW,BW11,$BX:$BX,BX11)</f>
        <v>5778.6784317500678</v>
      </c>
      <c r="CG11" s="1191">
        <v>0.7</v>
      </c>
      <c r="CH11" s="1191">
        <f ca="1">AVERAGEIF($BW:$BW,BW11,$AC:$AC)</f>
        <v>1049.1818181818182</v>
      </c>
      <c r="CI11" s="228">
        <f ca="1">AVERAGEIFS($AC:$AC,$BW:$BW,BW11,$BX:$BX,BX11)</f>
        <v>1049.1818181818182</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5406.666666666667</v>
      </c>
      <c r="CR11" s="228">
        <f ca="1">AVERAGEIFS($AF:$AF,$BW:$BW,BW11,$BX:$BX,BX11)</f>
        <v>5406.666666666667</v>
      </c>
      <c r="CS11" s="1191">
        <v>1.3</v>
      </c>
      <c r="CT11" s="1191">
        <v>1.5</v>
      </c>
      <c r="CU11" s="1191">
        <f ca="1">AVERAGEIF($BW:$BW,$BW11,$AH:$AH)</f>
        <v>438</v>
      </c>
      <c r="CV11" s="228">
        <f ca="1">AVERAGEIFS($AH:$AH,$BW:$BW,$BW11,$BX:$BX,$BX11)</f>
        <v>438</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9954.818181818182</v>
      </c>
      <c r="DH11" s="228">
        <f ca="1">AVERAGEIFS($AM:$AM,$BW:$BW,$BW11,$BX:$BX,$BX11)</f>
        <v>9954.818181818182</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3.4202391353076305</v>
      </c>
      <c r="ER11" s="228">
        <f ca="1">AVERAGEIFS($BH:$BH,$BW:$BW,$BW11,$BX:$BX,$BX11)</f>
        <v>3.4202391353076305</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0</v>
      </c>
      <c r="B12" s="506" t="s">
        <v>247</v>
      </c>
      <c r="C12" s="7" t="str">
        <f>Datos!A12</f>
        <v xml:space="preserve">Sección Civil y de Instrucción del T.I.       </v>
      </c>
      <c r="D12" s="507"/>
      <c r="E12" s="259">
        <f>IF(ISNUMBER(Datos!AQ12),Datos!AQ12," - ")</f>
        <v>0</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t="str">
        <f>IF(ISNUMBER(Datos!Z12),Datos!Z12," - ")</f>
        <v xml:space="preserve"> - </v>
      </c>
      <c r="O12" s="333"/>
      <c r="P12" s="333"/>
      <c r="Q12" s="225">
        <f>IF(ISNUMBER(Datos!P12),Datos!P12,0)</f>
        <v>0</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t="str">
        <f>IF(ISNUMBER(Datos!Q12),Datos!Q12," - ")</f>
        <v xml:space="preserve"> - </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t="str">
        <f>IF(ISNUMBER(Datos!AB12),Datos!AB12,"-")</f>
        <v>-</v>
      </c>
      <c r="AI12" s="224" t="str">
        <f>IF(ISNUMBER(Datos!CD12),Datos!CD12,"-")</f>
        <v>-</v>
      </c>
      <c r="AJ12" s="224" t="str">
        <f>IF(ISNUMBER(Datos!EN12),Datos!EN12," - ")</f>
        <v xml:space="preserve"> - </v>
      </c>
      <c r="AK12" s="333"/>
      <c r="AL12" s="478"/>
      <c r="AM12" s="224" t="str">
        <f>IF(ISNUMBER(Datos!R12),Datos!R12," - ")</f>
        <v xml:space="preserve"> - </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t="str">
        <f>IF(ISNUMBER(Datos!M12),Datos!M12," - ")</f>
        <v xml:space="preserve"> - </v>
      </c>
      <c r="BD12" s="228" t="str">
        <f>IF(ISNUMBER(Datos!N12),Datos!N12," - ")</f>
        <v xml:space="preserve"> - </v>
      </c>
      <c r="BE12" s="224" t="str">
        <f>IF(ISNUMBER(Datos!BW12),Datos!BW12," - ")</f>
        <v xml:space="preserve"> - </v>
      </c>
      <c r="BF12" s="224" t="str">
        <f>IF(ISNUMBER(Datos!BX12),Datos!BX12," - ")</f>
        <v xml:space="preserve"> - </v>
      </c>
      <c r="BG12" s="242" t="str">
        <f>IF(ISNUMBER(IF(J_V="SI",Datos!K12/Datos!J12,(Datos!K12+Datos!AA12)/(Datos!J12+Datos!Z12))),IF(J_V="SI",Datos!K12/Datos!J12,(Datos!K12+Datos!AA12)/(Datos!J12+Datos!Z12))," - ")</f>
        <v xml:space="preserve"> - </v>
      </c>
      <c r="BH12" s="224" t="str">
        <f>IF(ISNUMBER(((IF(J_V="SI",Datos!L12/Datos!K12,(Datos!L12+Datos!AB12)/(Datos!K12+Datos!AA12)))*11)/factor_trimestre),((IF(J_V="SI",Datos!L12/Datos!K12,(Datos!L12+Datos!AB12)/(Datos!K12+Datos!AA12)))*11)/factor_trimestre," - ")</f>
        <v xml:space="preserve"> - </v>
      </c>
      <c r="BI12" s="242"/>
      <c r="BJ12" s="1205" t="str">
        <f>IF(ISNUMBER(Datos!CI12/Datos!CJ12),Datos!CI12/Datos!CJ12," - ")</f>
        <v xml:space="preserve"> - </v>
      </c>
      <c r="BK12" s="359" t="str">
        <f>IF(ISNUMBER(Datos!CJ12),Datos!CJ12," - ")</f>
        <v xml:space="preserve"> - </v>
      </c>
      <c r="BL12" s="229" t="str">
        <f t="shared" si="0"/>
        <v xml:space="preserve"> - </v>
      </c>
      <c r="BM12" s="609" t="str">
        <f>IF(ISNUMBER((Datos!P12-Datos!Q12+Datos!DE12)/(Datos!R12-Datos!P12+Datos!Q12-Datos!DE12)),(Datos!P12-Datos!Q12+Datos!DE12)/(Datos!R12-Datos!P12+Datos!Q12-Datos!DE12)," - ")</f>
        <v xml:space="preserve"> - </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5778.6784317500678</v>
      </c>
      <c r="CF12" s="228">
        <f ca="1">AVERAGEIFS($AB:$AB,$BW:$BW,BW12,$BX:$BX,BX12)</f>
        <v>5778.6784317500678</v>
      </c>
      <c r="CG12" s="1191">
        <v>0.7</v>
      </c>
      <c r="CH12" s="1191">
        <f ca="1">AVERAGEIF($BW:$BW,BW12,$AC:$AC)</f>
        <v>1049.1818181818182</v>
      </c>
      <c r="CI12" s="228">
        <f ca="1">AVERAGEIFS($AC:$AC,$BW:$BW,BW12,$BX:$BX,BX12)</f>
        <v>1049.1818181818182</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5406.666666666667</v>
      </c>
      <c r="CR12" s="228">
        <f ca="1">AVERAGEIFS($AF:$AF,$BW:$BW,BW12,$BX:$BX,BX12)</f>
        <v>5406.666666666667</v>
      </c>
      <c r="CS12" s="1191">
        <v>1.3</v>
      </c>
      <c r="CT12" s="1191">
        <v>1.5</v>
      </c>
      <c r="CU12" s="1191">
        <f ca="1">AVERAGEIF($BW:$BW,$BW12,$AH:$AH)</f>
        <v>438</v>
      </c>
      <c r="CV12" s="228">
        <f ca="1">AVERAGEIFS($AH:$AH,$BW:$BW,$BW12,$BX:$BX,$BX12)</f>
        <v>438</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9954.818181818182</v>
      </c>
      <c r="DH12" s="228">
        <f ca="1">AVERAGEIFS($AM:$AM,$BW:$BW,$BW12,$BX:$BX,$BX12)</f>
        <v>9954.818181818182</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3.4202391353076305</v>
      </c>
      <c r="ER12" s="228">
        <f ca="1">AVERAGEIFS($BH:$BH,$BW:$BW,$BW12,$BX:$BX,$BX12)</f>
        <v>3.4202391353076305</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36</v>
      </c>
      <c r="F13" s="895">
        <f t="shared" si="1"/>
        <v>367</v>
      </c>
      <c r="G13" s="895">
        <f t="shared" si="1"/>
        <v>367</v>
      </c>
      <c r="H13" s="896">
        <f t="shared" si="1"/>
        <v>0</v>
      </c>
      <c r="I13" s="895">
        <f t="shared" si="1"/>
        <v>0</v>
      </c>
      <c r="J13" s="864">
        <f t="shared" si="1"/>
        <v>0</v>
      </c>
      <c r="K13" s="864">
        <f t="shared" si="1"/>
        <v>0</v>
      </c>
      <c r="L13" s="896">
        <f t="shared" si="1"/>
        <v>0</v>
      </c>
      <c r="M13" s="896">
        <f t="shared" si="1"/>
        <v>0</v>
      </c>
      <c r="N13" s="896">
        <f t="shared" si="1"/>
        <v>1431</v>
      </c>
      <c r="O13" s="897">
        <f t="shared" si="1"/>
        <v>0</v>
      </c>
      <c r="P13" s="897">
        <f t="shared" si="1"/>
        <v>0</v>
      </c>
      <c r="Q13" s="896">
        <f t="shared" si="1"/>
        <v>2324</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230</v>
      </c>
      <c r="AC13" s="896">
        <f t="shared" si="2"/>
        <v>2781</v>
      </c>
      <c r="AD13" s="896">
        <f t="shared" si="2"/>
        <v>0</v>
      </c>
      <c r="AE13" s="896">
        <f t="shared" si="2"/>
        <v>0</v>
      </c>
      <c r="AF13" s="896">
        <f t="shared" si="2"/>
        <v>376</v>
      </c>
      <c r="AG13" s="896">
        <f t="shared" si="2"/>
        <v>0</v>
      </c>
      <c r="AH13" s="896">
        <f t="shared" si="2"/>
        <v>1168</v>
      </c>
      <c r="AI13" s="896">
        <f t="shared" si="2"/>
        <v>0</v>
      </c>
      <c r="AJ13" s="896">
        <f t="shared" si="2"/>
        <v>0</v>
      </c>
      <c r="AK13" s="896">
        <f t="shared" si="2"/>
        <v>0</v>
      </c>
      <c r="AL13" s="896">
        <f t="shared" si="2"/>
        <v>0</v>
      </c>
      <c r="AM13" s="896">
        <f t="shared" si="2"/>
        <v>34625</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4158</v>
      </c>
      <c r="BD13" s="896">
        <f t="shared" si="2"/>
        <v>7028</v>
      </c>
      <c r="BE13" s="896">
        <f t="shared" si="2"/>
        <v>0</v>
      </c>
      <c r="BF13" s="896">
        <f t="shared" si="2"/>
        <v>0</v>
      </c>
      <c r="BG13" s="896">
        <f>IF(ISNUMBER(Datos!K13/Datos!J13),Datos!K13/Datos!J13," - ")</f>
        <v>1.065662508825606</v>
      </c>
      <c r="BH13" s="900">
        <f>IF(ISNUMBER(((Datos!L13/Datos!K13)*11)/factor_trimestre),((Datos!L13/Datos!K13)*11)/factor_trimestre," - ")</f>
        <v>8.2027385159010606</v>
      </c>
      <c r="BI13" s="896">
        <f>IF(ISNUMBER('Resol  Asuntos'!D13/NºAsuntos!G13),'Resol  Asuntos'!D13/NºAsuntos!G13," - ")</f>
        <v>0.2772</v>
      </c>
      <c r="BJ13" s="896" t="str">
        <f>IF(ISNUMBER(Datos!CI13/Datos!CJ13),Datos!CI13/Datos!CJ13," - ")</f>
        <v xml:space="preserve"> - </v>
      </c>
      <c r="BK13" s="896">
        <f>SUBTOTAL(9,BK8:BK12)</f>
        <v>0</v>
      </c>
      <c r="BL13" s="896">
        <f>IF(ISNUMBER((I13-AB13+L13)/(F13)),(I13-AB13+L13)/(F13)," - ")</f>
        <v>-0.6267029972752044</v>
      </c>
      <c r="BM13" s="901">
        <f>SUBTOTAL(9,BM9:BM12)</f>
        <v>1.0128120844636067E-2</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21</v>
      </c>
      <c r="B15" s="593" t="s">
        <v>397</v>
      </c>
      <c r="C15" s="598" t="str">
        <f>Datos!A15</f>
        <v xml:space="preserve">Seccion Instruccion Del T.I.                   </v>
      </c>
      <c r="D15" s="599"/>
      <c r="E15" s="1160">
        <f>IF(ISNUMBER(Datos!AQ15),Datos!AQ15," - ")</f>
        <v>21</v>
      </c>
      <c r="F15" s="594">
        <f>IF(ISNUMBER(AF15+AB15-Datos!J15-L15),AF15+AB15-Datos!J15-L15," - ")</f>
        <v>13900</v>
      </c>
      <c r="G15" s="596">
        <f>IF(ISNUMBER(IF(D_I="SI",Datos!I15,Datos!I15+Datos!AC15)),IF(D_I="SI",Datos!I15,Datos!I15+Datos!AC15)," - ")</f>
        <v>13562</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900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f>IF(ISNUMBER(IF(D_I="SI",Datos!K15,Datos!K15+Datos!AE15)),IF(D_I="SI",Datos!K15,Datos!K15+Datos!AE15)," - ")</f>
        <v>14614</v>
      </c>
      <c r="AC15" s="224">
        <f>IF(ISNUMBER(Datos!Q15),Datos!Q15," - ")</f>
        <v>1039</v>
      </c>
      <c r="AD15" s="224"/>
      <c r="AE15" s="224"/>
      <c r="AF15" s="224">
        <f>IF(ISNUMBER(IF(D_I="SI",Datos!L15,Datos!L15+Datos!AF15)),IF(D_I="SI",Datos!L15,Datos!L15+Datos!AF15)," - ")</f>
        <v>14066</v>
      </c>
      <c r="AG15" s="333"/>
      <c r="AH15" s="224"/>
      <c r="AI15" s="224"/>
      <c r="AJ15" s="224"/>
      <c r="AK15" s="333"/>
      <c r="AL15" s="478"/>
      <c r="AM15" s="224">
        <f>IF(ISNUMBER(Datos!R15),Datos!R15," - ")</f>
        <v>1846</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f>IF(ISNUMBER(Datos!M15),Datos!M15," - ")</f>
        <v>1978</v>
      </c>
      <c r="BD15" s="228">
        <f>IF(ISNUMBER(Datos!N15),Datos!N15," - ")</f>
        <v>8535</v>
      </c>
      <c r="BE15" s="224" t="str">
        <f>IF(ISNUMBER(Datos!BW15),Datos!BW15," - ")</f>
        <v xml:space="preserve"> - </v>
      </c>
      <c r="BF15" s="224" t="str">
        <f>IF(ISNUMBER(Datos!BX15),Datos!BX15," - ")</f>
        <v xml:space="preserve"> - </v>
      </c>
      <c r="BG15" s="242">
        <f>IF(ISNUMBER(IF(D_I="SI",Datos!K15/Datos!J15,(Datos!K15+Datos!AE15)/(Datos!J15+Datos!AD15))),IF(D_I="SI",Datos!K15/Datos!J15,(Datos!K15+Datos!AE15)/(Datos!J15+Datos!AD15))," - ")</f>
        <v>0.98876860622462792</v>
      </c>
      <c r="BH15" s="224">
        <f>IF(ISNUMBER(((IF(D_I="SI",Datos!L15/Datos!K15,(Datos!L15+Datos!AF15)/(Datos!K15+Datos!AE15)))*11)/factor_trimestre),((IF(D_I="SI",Datos!L15/Datos!K15,(Datos!L15+Datos!AF15)/(Datos!K15+Datos!AE15)))*11)/factor_trimestre," - ")</f>
        <v>2.8875051320651428</v>
      </c>
      <c r="BI15" s="242">
        <f>IF(ISNUMBER('Resol  Asuntos'!D15/NºAsuntos!G15),'Resol  Asuntos'!D15/NºAsuntos!G15," - ")</f>
        <v>0.13534966470507731</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5778.6784317500678</v>
      </c>
      <c r="CF15" s="228">
        <f ca="1">AVERAGEIFS($AB:$AB,$BW:$BW,BW15,$BX:$BX,BX15)</f>
        <v>5778.6784317500678</v>
      </c>
      <c r="CG15" s="1191">
        <v>0.7</v>
      </c>
      <c r="CH15" s="1191">
        <f ca="1">AVERAGEIF($BW:$BW,BW15,$AC:$AC)</f>
        <v>1049.1818181818182</v>
      </c>
      <c r="CI15" s="228">
        <f ca="1">AVERAGEIFS($AC:$AC,$BW:$BW,BW15,$BX:$BX,BX15)</f>
        <v>1049.1818181818182</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5406.666666666667</v>
      </c>
      <c r="CR15" s="228">
        <f ca="1">AVERAGEIFS($AF:$AF,$BW:$BW,BW15,$BX:$BX,BX15)</f>
        <v>5406.666666666667</v>
      </c>
      <c r="CS15" s="1191">
        <v>1.3</v>
      </c>
      <c r="CT15" s="1191">
        <v>1.5</v>
      </c>
      <c r="CU15" s="1191">
        <f ca="1">AVERAGEIF($BW:$BW,$BW15,$AH:$AH)</f>
        <v>438</v>
      </c>
      <c r="CV15" s="228">
        <f ca="1">AVERAGEIFS($AH:$AH,$BW:$BW,$BW15,$BX:$BX,$BX15)</f>
        <v>438</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9954.818181818182</v>
      </c>
      <c r="DH15" s="228">
        <f ca="1">AVERAGEIFS($AM:$AM,$BW:$BW,$BW15,$BX:$BX,$BX15)</f>
        <v>9954.818181818182</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3.4202391353076305</v>
      </c>
      <c r="ER15" s="228">
        <f ca="1">AVERAGEIFS($BH:$BH,$BW:$BW,$BW15,$BX:$BX,$BX15)</f>
        <v>3.4202391353076305</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5778.6784317500678</v>
      </c>
      <c r="CF16" s="228">
        <f ca="1">AVERAGEIFS($AB:$AB,$BW:$BW,BW16,$BX:$BX,BX16)</f>
        <v>5778.6784317500678</v>
      </c>
      <c r="CG16" s="1191">
        <v>0.7</v>
      </c>
      <c r="CH16" s="1191">
        <f ca="1">AVERAGEIF($BW:$BW,BW16,$AC:$AC)</f>
        <v>1049.1818181818182</v>
      </c>
      <c r="CI16" s="228">
        <f ca="1">AVERAGEIFS($AC:$AC,$BW:$BW,BW16,$BX:$BX,BX16)</f>
        <v>1049.1818181818182</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5406.666666666667</v>
      </c>
      <c r="CR16" s="228">
        <f ca="1">AVERAGEIFS($AF:$AF,$BW:$BW,BW16,$BX:$BX,BX16)</f>
        <v>5406.666666666667</v>
      </c>
      <c r="CS16" s="1191">
        <v>1.3</v>
      </c>
      <c r="CT16" s="1191">
        <v>1.5</v>
      </c>
      <c r="CU16" s="1191">
        <f ca="1">AVERAGEIF($BW:$BW,$BW16,$AH:$AH)</f>
        <v>438</v>
      </c>
      <c r="CV16" s="228">
        <f ca="1">AVERAGEIFS($AH:$AH,$BW:$BW,$BW16,$BX:$BX,$BX16)</f>
        <v>438</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9954.818181818182</v>
      </c>
      <c r="DH16" s="228">
        <f ca="1">AVERAGEIFS($AM:$AM,$BW:$BW,$BW16,$BX:$BX,$BX16)</f>
        <v>9954.818181818182</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3.4202391353076305</v>
      </c>
      <c r="ER16" s="228">
        <f ca="1">AVERAGEIFS($BH:$BH,$BW:$BW,$BW16,$BX:$BX,$BX16)</f>
        <v>3.4202391353076305</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0</v>
      </c>
      <c r="B17" s="593" t="s">
        <v>397</v>
      </c>
      <c r="C17" s="598" t="str">
        <f>Datos!A17</f>
        <v xml:space="preserve">Sección Civil y de Inst. TI                      </v>
      </c>
      <c r="D17" s="599"/>
      <c r="E17" s="1160">
        <f>IF(ISNUMBER(Datos!AQ17),Datos!AQ17," - ")</f>
        <v>0</v>
      </c>
      <c r="F17" s="594" t="str">
        <f>IF(ISNUMBER(AF17+AB17-Datos!J17-L17),AF17+AB17-Datos!J17-L17," - ")</f>
        <v xml:space="preserve"> - </v>
      </c>
      <c r="G17" s="596" t="str">
        <f>IF(ISNUMBER(IF(D_I="SI",Datos!I17,Datos!I17+Datos!AC17)),IF(D_I="SI",Datos!I17,Datos!I17+Datos!AC17)," - ")</f>
        <v xml:space="preserve"> - </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0</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t="str">
        <f>IF(ISNUMBER(IF(D_I="SI",Datos!K17,Datos!K17+Datos!AE17)),IF(D_I="SI",Datos!K17,Datos!K17+Datos!AE17)," - ")</f>
        <v xml:space="preserve"> - </v>
      </c>
      <c r="AC17" s="224" t="str">
        <f>IF(ISNUMBER(Datos!Q17),Datos!Q17," - ")</f>
        <v xml:space="preserve"> - </v>
      </c>
      <c r="AD17" s="224"/>
      <c r="AE17" s="224"/>
      <c r="AF17" s="224" t="str">
        <f>IF(ISNUMBER(IF(D_I="SI",Datos!L17,Datos!L17+Datos!AF17)),IF(D_I="SI",Datos!L17,Datos!L17+Datos!AF17)," - ")</f>
        <v xml:space="preserve"> - </v>
      </c>
      <c r="AG17" s="333"/>
      <c r="AH17" s="224"/>
      <c r="AI17" s="224"/>
      <c r="AJ17" s="224"/>
      <c r="AK17" s="333"/>
      <c r="AL17" s="478"/>
      <c r="AM17" s="224" t="str">
        <f>IF(ISNUMBER(Datos!R17),Datos!R17," - ")</f>
        <v xml:space="preserve"> - </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t="str">
        <f>IF(ISNUMBER(Datos!M17),Datos!M17," - ")</f>
        <v xml:space="preserve"> - </v>
      </c>
      <c r="BD17" s="228" t="str">
        <f>IF(ISNUMBER(Datos!N17),Datos!N17," - ")</f>
        <v xml:space="preserve"> - </v>
      </c>
      <c r="BE17" s="224" t="str">
        <f>IF(ISNUMBER(Datos!BW17),Datos!BW17," - ")</f>
        <v xml:space="preserve"> - </v>
      </c>
      <c r="BF17" s="224" t="str">
        <f>IF(ISNUMBER(Datos!BX17),Datos!BX17," - ")</f>
        <v xml:space="preserve"> - </v>
      </c>
      <c r="BG17" s="242" t="str">
        <f>IF(ISNUMBER(IF(D_I="SI",Datos!K17/Datos!J17,(Datos!K17+Datos!AE17)/(Datos!J17+Datos!AD17))),IF(D_I="SI",Datos!K17/Datos!J17,(Datos!K17+Datos!AE17)/(Datos!J17+Datos!AD17))," - ")</f>
        <v xml:space="preserve"> - </v>
      </c>
      <c r="BH17" s="224" t="str">
        <f>IF(ISNUMBER(((IF(D_I="SI",Datos!L17/Datos!K17,(Datos!L17+Datos!AF17)/(Datos!K17+Datos!AE17)))*11)/factor_trimestre),((IF(D_I="SI",Datos!L17/Datos!K17,(Datos!L17+Datos!AF17)/(Datos!K17+Datos!AE17)))*11)/factor_trimestre," - ")</f>
        <v xml:space="preserve"> - </v>
      </c>
      <c r="BI17" s="242" t="str">
        <f>IF(ISNUMBER('Resol  Asuntos'!D17/NºAsuntos!G17),'Resol  Asuntos'!D17/NºAsuntos!G17," - ")</f>
        <v xml:space="preserve"> - </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5778.6784317500678</v>
      </c>
      <c r="CF17" s="228">
        <f ca="1">AVERAGEIFS($AB:$AB,$BW:$BW,BW17,$BX:$BX,BX17)</f>
        <v>5778.6784317500678</v>
      </c>
      <c r="CG17" s="1191">
        <v>0.7</v>
      </c>
      <c r="CH17" s="1191">
        <f ca="1">AVERAGEIF($BW:$BW,BW17,$AC:$AC)</f>
        <v>1049.1818181818182</v>
      </c>
      <c r="CI17" s="228">
        <f ca="1">AVERAGEIFS($AC:$AC,$BW:$BW,BW17,$BX:$BX,BX17)</f>
        <v>1049.1818181818182</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5406.666666666667</v>
      </c>
      <c r="CR17" s="228">
        <f ca="1">AVERAGEIFS($AF:$AF,$BW:$BW,BW17,$BX:$BX,BX17)</f>
        <v>5406.666666666667</v>
      </c>
      <c r="CS17" s="1191">
        <v>1.3</v>
      </c>
      <c r="CT17" s="1191">
        <v>1.5</v>
      </c>
      <c r="CU17" s="1191">
        <f ca="1">AVERAGEIF($BW:$BW,$BW17,$AH:$AH)</f>
        <v>438</v>
      </c>
      <c r="CV17" s="228">
        <f ca="1">AVERAGEIFS($AH:$AH,$BW:$BW,$BW17,$BX:$BX,$BX17)</f>
        <v>438</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9954.818181818182</v>
      </c>
      <c r="DH17" s="228">
        <f ca="1">AVERAGEIFS($AM:$AM,$BW:$BW,$BW17,$BX:$BX,$BX17)</f>
        <v>9954.818181818182</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3.4202391353076305</v>
      </c>
      <c r="ER17" s="228">
        <f ca="1">AVERAGEIFS($BH:$BH,$BW:$BW,$BW17,$BX:$BX,$BX17)</f>
        <v>3.4202391353076305</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6</v>
      </c>
      <c r="B18" s="506" t="s">
        <v>397</v>
      </c>
      <c r="C18" s="7" t="str">
        <f>Datos!A18</f>
        <v>Sección De Violencia sobre la Mujer del TI</v>
      </c>
      <c r="D18" s="507"/>
      <c r="E18" s="1020">
        <f>IF(ISNUMBER(Datos!AQ18),Datos!AQ18," - ")</f>
        <v>6</v>
      </c>
      <c r="F18" s="224" t="str">
        <f>IF(ISNUMBER(AF18+AB18-I18-L18),AF18+AB18-I18-L18," - ")</f>
        <v xml:space="preserve"> - </v>
      </c>
      <c r="G18" s="332">
        <f>IF(ISNUMBER(IF(D_I="SI",Datos!I18,Datos!I18+Datos!AC18)),IF(D_I="SI",Datos!I18,Datos!I18+Datos!AC18)," - ")</f>
        <v>1364</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20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1711</v>
      </c>
      <c r="AC18" s="224">
        <f>IF(ISNUMBER(Datos!Q18),Datos!Q18," - ")</f>
        <v>27</v>
      </c>
      <c r="AD18" s="224"/>
      <c r="AE18" s="224"/>
      <c r="AF18" s="224">
        <f>IF(ISNUMBER(Datos!L18),Datos!L18,"-")</f>
        <v>1778</v>
      </c>
      <c r="AG18" s="333"/>
      <c r="AH18" s="224"/>
      <c r="AI18" s="224"/>
      <c r="AJ18" s="224"/>
      <c r="AK18" s="333"/>
      <c r="AL18" s="478"/>
      <c r="AM18" s="224">
        <f>IF(ISNUMBER(Datos!R18),Datos!R18," - ")</f>
        <v>30</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102</v>
      </c>
      <c r="BD18" s="228">
        <f>IF(ISNUMBER(Datos!N18),Datos!N18," - ")</f>
        <v>1059</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0.79766899766899768</v>
      </c>
      <c r="BH18" s="224">
        <f>IF(ISNUMBER(((IF(D_I="SI",Datos!L18/Datos!K18,(Datos!L18+Datos!AF18)/(Datos!K18+Datos!AE18)))*11)/factor_trimestre),((IF(D_I="SI",Datos!L18/Datos!K18,(Datos!L18+Datos!AF18)/(Datos!K18+Datos!AE18)))*11)/factor_trimestre," - ")</f>
        <v>3.1174751607247226</v>
      </c>
      <c r="BI18" s="242">
        <f>IF(ISNUMBER('Resol  Asuntos'!D18/NºAsuntos!G18),'Resol  Asuntos'!D18/NºAsuntos!G18," - ")</f>
        <v>5.9614260666277029E-2</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5778.6784317500678</v>
      </c>
      <c r="CF18" s="228">
        <f ca="1">AVERAGEIFS($AB:$AB,$BW:$BW,BW18,$BX:$BX,BX18)</f>
        <v>5778.6784317500678</v>
      </c>
      <c r="CG18" s="1191">
        <v>0.7</v>
      </c>
      <c r="CH18" s="1191">
        <f ca="1">AVERAGEIF($BW:$BW,BW18,$AC:$AC)</f>
        <v>1049.1818181818182</v>
      </c>
      <c r="CI18" s="228">
        <f ca="1">AVERAGEIFS($AC:$AC,$BW:$BW,BW18,$BX:$BX,BX18)</f>
        <v>1049.1818181818182</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5406.666666666667</v>
      </c>
      <c r="CR18" s="228">
        <f ca="1">AVERAGEIFS($AF:$AF,$BW:$BW,BW18,$BX:$BX,BX18)</f>
        <v>5406.666666666667</v>
      </c>
      <c r="CS18" s="1191">
        <v>1.3</v>
      </c>
      <c r="CT18" s="1191">
        <v>1.5</v>
      </c>
      <c r="CU18" s="1191">
        <f ca="1">AVERAGEIF($BW:$BW,$BW18,$AH:$AH)</f>
        <v>438</v>
      </c>
      <c r="CV18" s="228">
        <f ca="1">AVERAGEIFS($AH:$AH,$BW:$BW,$BW18,$BX:$BX,$BX18)</f>
        <v>438</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9954.818181818182</v>
      </c>
      <c r="DH18" s="228">
        <f ca="1">AVERAGEIFS($AM:$AM,$BW:$BW,$BW18,$BX:$BX,$BX18)</f>
        <v>9954.818181818182</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3.4202391353076305</v>
      </c>
      <c r="ER18" s="228">
        <f ca="1">AVERAGEIFS($BH:$BH,$BW:$BW,$BW18,$BX:$BX,$BX18)</f>
        <v>3.4202391353076305</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27</v>
      </c>
      <c r="F19" s="895">
        <f>SUBTOTAL(9,F15:F18)</f>
        <v>13900</v>
      </c>
      <c r="G19" s="895">
        <f>SUBTOTAL(9,G15:G18)</f>
        <v>14926</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920</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16325</v>
      </c>
      <c r="AC19" s="896">
        <f t="shared" si="5"/>
        <v>1066</v>
      </c>
      <c r="AD19" s="896">
        <f t="shared" si="5"/>
        <v>0</v>
      </c>
      <c r="AE19" s="896">
        <f t="shared" si="5"/>
        <v>0</v>
      </c>
      <c r="AF19" s="896">
        <f t="shared" si="5"/>
        <v>15844</v>
      </c>
      <c r="AG19" s="896">
        <f t="shared" si="5"/>
        <v>0</v>
      </c>
      <c r="AH19" s="896">
        <f t="shared" si="5"/>
        <v>0</v>
      </c>
      <c r="AI19" s="896">
        <f t="shared" si="5"/>
        <v>0</v>
      </c>
      <c r="AJ19" s="896">
        <f t="shared" si="5"/>
        <v>0</v>
      </c>
      <c r="AK19" s="896">
        <f t="shared" si="5"/>
        <v>0</v>
      </c>
      <c r="AL19" s="896">
        <f t="shared" si="5"/>
        <v>0</v>
      </c>
      <c r="AM19" s="896">
        <f t="shared" si="5"/>
        <v>1876</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2080</v>
      </c>
      <c r="BD19" s="896">
        <f t="shared" si="5"/>
        <v>9594</v>
      </c>
      <c r="BE19" s="896">
        <f t="shared" si="5"/>
        <v>0</v>
      </c>
      <c r="BF19" s="896">
        <f t="shared" si="5"/>
        <v>0</v>
      </c>
      <c r="BG19" s="896">
        <f>IF(ISNUMBER(Datos!K19/Datos!J19),Datos!K19/Datos!J19," - ")</f>
        <v>0.96454948301329391</v>
      </c>
      <c r="BH19" s="900">
        <f>IF(ISNUMBER(((Datos!L19/Datos!K19)*11)/factor_trimestre),((Datos!L19/Datos!K19)*11)/factor_trimestre," - ")</f>
        <v>2.9116079632465541</v>
      </c>
      <c r="BI19" s="896">
        <f>SUBTOTAL(9,BI15:BI18)</f>
        <v>0.19496392537135435</v>
      </c>
      <c r="BJ19" s="896">
        <f>SUBTOTAL(9,BJ15:BJ18)</f>
        <v>0</v>
      </c>
      <c r="BK19" s="896">
        <f>SUBTOTAL(9,BK15:BK18)</f>
        <v>0</v>
      </c>
      <c r="BL19" s="896">
        <f>IF(ISNUMBER((I19-AB19+L19)/(F19)),(I19-AB19+L19)/(F19)," - ")</f>
        <v>-1.1744604316546763</v>
      </c>
      <c r="BM19" s="902">
        <f>IF(ISNUMBER((Datos!P19-Datos!Q19)/(Datos!R19-Datos!P19+Datos!Q19)),(Datos!P19-Datos!Q19)/(Datos!R19-Datos!P19+Datos!Q19)," - ")</f>
        <v>-7.2205736894164194E-2</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63</v>
      </c>
      <c r="F20" s="817">
        <f t="shared" si="7"/>
        <v>14267</v>
      </c>
      <c r="G20" s="817">
        <f t="shared" si="7"/>
        <v>15293</v>
      </c>
      <c r="H20" s="819">
        <f t="shared" si="7"/>
        <v>0</v>
      </c>
      <c r="I20" s="817">
        <f t="shared" si="7"/>
        <v>0</v>
      </c>
      <c r="J20" s="819">
        <f t="shared" si="7"/>
        <v>0</v>
      </c>
      <c r="K20" s="819">
        <f t="shared" si="7"/>
        <v>0</v>
      </c>
      <c r="L20" s="878">
        <f t="shared" si="7"/>
        <v>0</v>
      </c>
      <c r="M20" s="878">
        <f t="shared" si="7"/>
        <v>0</v>
      </c>
      <c r="N20" s="878">
        <f t="shared" si="7"/>
        <v>1431</v>
      </c>
      <c r="O20" s="878">
        <f t="shared" si="7"/>
        <v>0</v>
      </c>
      <c r="P20" s="878">
        <f t="shared" si="7"/>
        <v>0</v>
      </c>
      <c r="Q20" s="819">
        <f t="shared" si="7"/>
        <v>3244</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16555</v>
      </c>
      <c r="AC20" s="818">
        <f t="shared" si="8"/>
        <v>3847</v>
      </c>
      <c r="AD20" s="818">
        <f t="shared" si="8"/>
        <v>0</v>
      </c>
      <c r="AE20" s="818">
        <f t="shared" si="8"/>
        <v>0</v>
      </c>
      <c r="AF20" s="825">
        <f t="shared" si="8"/>
        <v>16220</v>
      </c>
      <c r="AG20" s="825">
        <f t="shared" si="8"/>
        <v>0</v>
      </c>
      <c r="AH20" s="825">
        <f t="shared" si="8"/>
        <v>1168</v>
      </c>
      <c r="AI20" s="825">
        <f t="shared" si="8"/>
        <v>0</v>
      </c>
      <c r="AJ20" s="818">
        <f t="shared" si="8"/>
        <v>0</v>
      </c>
      <c r="AK20" s="825">
        <f t="shared" si="8"/>
        <v>0</v>
      </c>
      <c r="AL20" s="825">
        <f t="shared" si="8"/>
        <v>0</v>
      </c>
      <c r="AM20" s="825">
        <f t="shared" si="8"/>
        <v>36501</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6238</v>
      </c>
      <c r="BD20" s="817">
        <f t="shared" si="8"/>
        <v>16622</v>
      </c>
      <c r="BE20" s="817">
        <f t="shared" si="8"/>
        <v>0</v>
      </c>
      <c r="BF20" s="827">
        <f t="shared" si="8"/>
        <v>0</v>
      </c>
      <c r="BG20" s="912">
        <f>IF(ISNUMBER(Datos!K20/Datos!J20),Datos!K20/Datos!J20," - ")</f>
        <v>1.0079873281207872</v>
      </c>
      <c r="BH20" s="912">
        <f>IF(ISNUMBER(((Datos!L20/Datos!K20)*11)/factor_trimestre),((Datos!L20/Datos!K20)*11)/factor_trimestre," - ")</f>
        <v>5.314721321341402</v>
      </c>
      <c r="BI20" s="810">
        <f>IF(ISNUMBER(Datos!J20/Datos!I20),Datos!J20/Datos!I20," - ")</f>
        <v>0.56411718853970605</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-1.1603700848111025</v>
      </c>
      <c r="BM20" s="886">
        <f>IF(ISNUMBER((Datos!P20-Datos!Q20+R20)/(Datos!R20-Datos!P20+Datos!Q20-R20)),(Datos!P20-Datos!Q20+R20)/(Datos!R20-Datos!P20+Datos!Q20-R20)," - ")</f>
        <v>-1.6251617076326004E-2</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6117.2</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13.175735273600484</v>
      </c>
      <c r="F22" s="550">
        <f>IF(ISNUMBER(STDEV(F8:F19)),STDEV(F8:F19),"-")</f>
        <v>7813.2811929432055</v>
      </c>
      <c r="G22" s="551">
        <f>IF(ISNUMBER(STDEV(G8:G19)),STDEV(G8:G19),"-")</f>
        <v>7445.5106406478262</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8121.784317500681</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1657.2119874743157</v>
      </c>
      <c r="BD22" s="550"/>
      <c r="BE22" s="550">
        <f>IF(ISNUMBER(STDEV(BE8:BE19)),STDEV(BE8:BE19),"-")</f>
        <v>0</v>
      </c>
      <c r="BF22" s="555">
        <f>IF(ISNUMBER(STDEV(BF8:BF19)),STDEV(BF8:BF19),"-")</f>
        <v>0</v>
      </c>
      <c r="BG22" s="772">
        <f>IF(ISNUMBER(STDEV(BG8:BG19)),STDEV(BG8:BG19),"-")</f>
        <v>9.1264158187490896E-2</v>
      </c>
      <c r="BH22" s="773">
        <f>IF(ISNUMBER(STDEV(BH8:BH19)),STDEV(BH8:BH19),"-")</f>
        <v>2.6466670929334564</v>
      </c>
      <c r="BI22" s="248">
        <f>IF(ISNUMBER(STDEV(BI8:BI19)),STDEV(BI8:BI19),"-")</f>
        <v>9.2121788406478999E-2</v>
      </c>
      <c r="BJ22" s="986" t="str">
        <f>IF(ISNUMBER(BL22/BM22),BL22/BM22," - ")</f>
        <v xml:space="preserve"> - </v>
      </c>
      <c r="BK22" s="574"/>
      <c r="BL22" s="558">
        <f>IF(ISNUMBER(STDEV(BL8:BL19)),STDEV(BL8:BL19),"-")</f>
        <v>0.38732299629506972</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MYXP3Fm413sxWQYTTU24QByY/X3XHZFyRcWKeih1vAFhLYT/b+cUaL/Jc4HRE2O1JqlL+vgCYQDJ6GHzdifEQw==" saltValue="y1/SgFtgcmAD3jCfLyYuww=="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COMUNIDAD VALENCIANA</v>
      </c>
    </row>
    <row r="2" spans="1:146" ht="16.5" customHeight="1">
      <c r="C2" s="487" t="str">
        <f>Criterios!A10 &amp;"  "&amp;Criterios!B10 &amp; "  " &amp; IF(NOT(ISBLANK(Criterios!A11)),Criterios!A11 &amp;"  "&amp;Criterios!B11,"")</f>
        <v>Provincias  VALENCIA  Resumenes por Partidos Judiciales  VALENCIA</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0.2772</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0.19600999974491098</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CpwLPl/vylCmaFlRs8oFC2EOiGowl5bca6XTLEMmmys7xeATW4xNzU9jqOw6EPoOytB5jczFoWNssg2aD8Pl3g==" saltValue="livmwv8WgE4EL4jGa8q3/g=="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COMUNIDAD VALENCIANA</v>
      </c>
      <c r="B4" s="787" t="str">
        <f>IF(Criterios!B10=0,"",Criterios!B10)</f>
        <v>VALENCIA</v>
      </c>
      <c r="C4" s="787" t="str">
        <f>IF(Criterios!B11=0,"",Criterios!B11)</f>
        <v>VALENCIA</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dDojte7m+haJzUlBZzmdNk4Cw5I+eRlSfn50UBAbIgUR6AwB0B9OfVTqLYLA4Q69+hQhg0Ogg76QpxNmuyzWwQ==" saltValue="511xEyxVvXfI7wMx9+1Byg=="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2026-10-06T14:03:23Z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